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" windowWidth="15480" windowHeight="10500" tabRatio="796" activeTab="0"/>
  </bookViews>
  <sheets>
    <sheet name="мун.задание" sheetId="1" r:id="rId1"/>
    <sheet name="таблица вспом" sheetId="2" state="hidden" r:id="rId2"/>
    <sheet name="пр.1+2 " sheetId="3" state="hidden" r:id="rId3"/>
    <sheet name="пр.3" sheetId="4" state="hidden" r:id="rId4"/>
    <sheet name="пр.4" sheetId="5" state="hidden" r:id="rId5"/>
    <sheet name="пр.5" sheetId="6" state="hidden" r:id="rId6"/>
    <sheet name="пр.6" sheetId="7" state="hidden" r:id="rId7"/>
    <sheet name="свод" sheetId="8" state="hidden" r:id="rId8"/>
    <sheet name="проверка" sheetId="9" state="hidden" r:id="rId9"/>
    <sheet name="1433" sheetId="10" state="hidden" r:id="rId10"/>
    <sheet name="касса" sheetId="11" state="hidden" r:id="rId11"/>
  </sheets>
  <definedNames>
    <definedName name="_xlnm.Print_Area" localSheetId="9">'1433'!$A$1:$G$171</definedName>
    <definedName name="_xlnm.Print_Area" localSheetId="10">'касса'!$A$1:$S$48</definedName>
    <definedName name="_xlnm.Print_Area" localSheetId="0">'мун.задание'!$A$1:$R$237</definedName>
    <definedName name="_xlnm.Print_Area" localSheetId="2">'пр.1+2 '!$A$1:$G$75</definedName>
    <definedName name="_xlnm.Print_Area" localSheetId="6">'пр.6'!$A$1:$F$22</definedName>
    <definedName name="_xlnm.Print_Area" localSheetId="7">'свод'!$A$1:$F$150</definedName>
    <definedName name="_xlnm.Print_Area" localSheetId="1">'таблица вспом'!$A$1:$S$49</definedName>
  </definedNames>
  <calcPr fullCalcOnLoad="1"/>
</workbook>
</file>

<file path=xl/comments3.xml><?xml version="1.0" encoding="utf-8"?>
<comments xmlns="http://schemas.openxmlformats.org/spreadsheetml/2006/main">
  <authors>
    <author>Кочнева Юлия</author>
    <author>Соколовская</author>
  </authors>
  <commentList>
    <comment ref="C38" authorId="0">
      <text>
        <r>
          <rPr>
            <b/>
            <sz val="8"/>
            <rFont val="Tahoma"/>
            <family val="2"/>
          </rPr>
          <t>Кочнева Юлия:</t>
        </r>
        <r>
          <rPr>
            <sz val="8"/>
            <rFont val="Tahoma"/>
            <family val="2"/>
          </rPr>
          <t xml:space="preserve">
здесь добавлены одаренные дети
</t>
        </r>
      </text>
    </comment>
    <comment ref="C36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  <comment ref="C35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  <comment ref="C37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</commentList>
</comments>
</file>

<file path=xl/sharedStrings.xml><?xml version="1.0" encoding="utf-8"?>
<sst xmlns="http://schemas.openxmlformats.org/spreadsheetml/2006/main" count="902" uniqueCount="444">
  <si>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</si>
  <si>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</si>
  <si>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</si>
  <si>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</si>
  <si>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</si>
  <si>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</si>
  <si>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</si>
  <si>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</si>
  <si>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</si>
  <si>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</si>
  <si>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</si>
  <si>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</si>
  <si>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</si>
  <si>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</si>
  <si>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</si>
  <si>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</si>
  <si>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</si>
  <si>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</si>
  <si>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</si>
  <si>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</si>
  <si>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</si>
  <si>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</si>
  <si>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</si>
  <si>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</si>
  <si>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</si>
  <si>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</si>
  <si>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</si>
  <si>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</si>
  <si>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</si>
  <si>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</si>
  <si>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</si>
  <si>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</si>
  <si>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</si>
  <si>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</si>
  <si>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</si>
  <si>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</si>
  <si>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</si>
  <si>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</si>
  <si>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</si>
  <si>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</si>
  <si>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</si>
  <si>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</si>
  <si>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</si>
  <si>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</si>
  <si>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</si>
  <si>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</si>
  <si>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</si>
  <si>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</si>
  <si>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</si>
  <si>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</si>
  <si>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</si>
  <si>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</si>
  <si>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</si>
  <si>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</si>
  <si>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</si>
  <si>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</si>
  <si>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</si>
  <si>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</si>
  <si>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</si>
  <si>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</si>
  <si>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</si>
  <si>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</si>
  <si>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</si>
  <si>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</si>
  <si>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</si>
  <si>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</si>
  <si>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</si>
  <si>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</si>
  <si>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</si>
  <si>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</si>
  <si>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</si>
  <si>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</si>
  <si>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</si>
  <si>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</si>
  <si>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</si>
  <si>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</si>
  <si>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</si>
  <si>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</si>
  <si>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</si>
  <si>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</si>
  <si>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</si>
  <si>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</si>
  <si>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</si>
  <si>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</si>
  <si>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</si>
  <si>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</si>
  <si>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</si>
  <si>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</si>
  <si>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 xml:space="preserve"> 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</si>
  <si>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</si>
  <si>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</si>
  <si>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</si>
  <si>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</si>
  <si>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</si>
  <si>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</si>
  <si>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</si>
  <si>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</si>
  <si>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</si>
  <si>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</si>
  <si>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</si>
  <si>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</si>
  <si>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</si>
  <si>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</si>
  <si>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</si>
  <si>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</si>
  <si>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</si>
  <si>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</si>
  <si>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</si>
  <si>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</si>
  <si>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</si>
  <si>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</si>
  <si>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</si>
  <si>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</si>
  <si>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</si>
  <si>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</si>
  <si>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</si>
  <si>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</si>
  <si>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</si>
  <si>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</si>
  <si>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</si>
  <si>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</si>
  <si>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</si>
  <si>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</si>
  <si>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</si>
  <si>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</si>
  <si>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</si>
  <si>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</si>
  <si>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</si>
  <si>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</si>
  <si>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</si>
  <si>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</si>
  <si>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</si>
  <si>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КОСГУ</t>
  </si>
  <si>
    <t>месяц</t>
  </si>
  <si>
    <t>1 квартал</t>
  </si>
  <si>
    <t>2 квартал</t>
  </si>
  <si>
    <t>3 квартал</t>
  </si>
  <si>
    <t>4 квартал</t>
  </si>
  <si>
    <t>СУБВЕНЦИЯ</t>
  </si>
  <si>
    <t>МЕСТНЫЙ</t>
  </si>
  <si>
    <t>затраты на компенсационные выплаты по уходу за ребенком</t>
  </si>
  <si>
    <t xml:space="preserve">приобретение услуг связи </t>
  </si>
  <si>
    <t>Коммунальные услуги</t>
  </si>
  <si>
    <t>Услуги по вывозу мусора</t>
  </si>
  <si>
    <t>Услуги по тех.обслуживание ТС</t>
  </si>
  <si>
    <t>Услуги по дератизации</t>
  </si>
  <si>
    <t>Услуги тех.обслуживанию пожарной сигнализации</t>
  </si>
  <si>
    <t>Услуги тревожная кнопка</t>
  </si>
  <si>
    <t>Услуги по утилизация ртутосодержащих отходов</t>
  </si>
  <si>
    <t>Приобретение основных средств</t>
  </si>
  <si>
    <t>Приобретение материальныз запасов</t>
  </si>
  <si>
    <t>субвенция</t>
  </si>
  <si>
    <t>местные</t>
  </si>
  <si>
    <t>ВСЕГО СМЕТА</t>
  </si>
  <si>
    <t>Директор_________________________________</t>
  </si>
  <si>
    <t>Гл.бухгалтер ____________________________________</t>
  </si>
  <si>
    <t>горячее водоснабжение</t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</si>
  <si>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(ВСЕ ОСТАЛЬНЫЕ ДОЛЖНОСТИ)</t>
    </r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</si>
  <si>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(УЧИТЕЛЯ)</t>
    </r>
  </si>
  <si>
    <t>Затраты, непосредственно связанные с оказанием муниципальной услуги, за счет федерального бюджета &lt;рубли&gt;</t>
  </si>
  <si>
    <t>классное руководство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</si>
  <si>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</si>
  <si>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приложение 1</t>
  </si>
  <si>
    <t>Расчет норматива затрат, непосредственно связанных с оказанием муниципальной услуги</t>
  </si>
  <si>
    <t>Оклад с учетом k специфики</t>
  </si>
  <si>
    <t>k стимулирования</t>
  </si>
  <si>
    <t>количество месяцев</t>
  </si>
  <si>
    <t>k увеличения</t>
  </si>
  <si>
    <t>норматив</t>
  </si>
  <si>
    <t>начисления на оплату труда</t>
  </si>
  <si>
    <t>итого</t>
  </si>
  <si>
    <t xml:space="preserve">количество </t>
  </si>
  <si>
    <t>кол-во классных руководителей</t>
  </si>
  <si>
    <t>Средняя ставка на класс</t>
  </si>
  <si>
    <t>приложение 2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</si>
  <si>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</si>
  <si>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</si>
  <si>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</si>
  <si>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</si>
  <si>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</si>
  <si>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</si>
  <si>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</si>
  <si>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</si>
  <si>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</si>
  <si>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</si>
  <si>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тех.обслуживание ТС</t>
  </si>
  <si>
    <t>дератизация</t>
  </si>
  <si>
    <t>тех.обслуживание пожарной сигнализации</t>
  </si>
  <si>
    <t>текущий ремонт зданий и оборудования</t>
  </si>
  <si>
    <t>Тревожная кнопка</t>
  </si>
  <si>
    <t>Утилизация ртутосодержащих отходов</t>
  </si>
  <si>
    <t>Тех.обслуживание средств радиомодема прямой связи</t>
  </si>
  <si>
    <t>прочее</t>
  </si>
  <si>
    <t>обслуживание теплосчетчиков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</si>
  <si>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</si>
  <si>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</si>
  <si>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</si>
  <si>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 xml:space="preserve">приобретение транспортных услуг </t>
  </si>
  <si>
    <t>Прочие нормативные затраты на общехозяйственные нужды</t>
  </si>
  <si>
    <t>арендная плата</t>
  </si>
  <si>
    <t xml:space="preserve">приобритение материальных запасов 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</si>
  <si>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</si>
  <si>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</si>
  <si>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</si>
  <si>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</si>
  <si>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итого затрат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</si>
  <si>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</si>
  <si>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</si>
  <si>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</si>
  <si>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</si>
  <si>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</si>
  <si>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</si>
  <si>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</si>
  <si>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</si>
  <si>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</si>
  <si>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</si>
  <si>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</si>
  <si>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</si>
  <si>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</si>
  <si>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</si>
  <si>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холодное водоснабжение</t>
  </si>
  <si>
    <t>м3</t>
  </si>
  <si>
    <t>водоотведение</t>
  </si>
  <si>
    <t>тепловая  энергия</t>
  </si>
  <si>
    <t>гКал</t>
  </si>
  <si>
    <t>электрическая энергия</t>
  </si>
  <si>
    <t>кВат</t>
  </si>
  <si>
    <t>вывоз жидких бытовых отходов и объемов жидких бытовых отходов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</si>
  <si>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</si>
  <si>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</si>
  <si>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</si>
  <si>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</si>
  <si>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>Налог на имущество</t>
  </si>
  <si>
    <t>Налог на землю</t>
  </si>
  <si>
    <t>транспортный налог</t>
  </si>
  <si>
    <t>экологический сбор</t>
  </si>
  <si>
    <t>гос.пошлина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</si>
  <si>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</si>
  <si>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</si>
  <si>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>Объем муниципальных услуг в натуральных показателях</t>
  </si>
  <si>
    <t xml:space="preserve">Наименование приобретаемых муниципальных услуг 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</si>
  <si>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</si>
  <si>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</si>
  <si>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</si>
  <si>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</si>
  <si>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</si>
  <si>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</si>
  <si>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</si>
  <si>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>всего</t>
  </si>
  <si>
    <t xml:space="preserve">1.2 В том числе затраты, непосредственно связанные с оказанием муниципальной услуги ( за счет федерального бюджета) . 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</si>
  <si>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</si>
  <si>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</si>
  <si>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</si>
  <si>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</si>
  <si>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</si>
  <si>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</si>
  <si>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</si>
  <si>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</si>
  <si>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</si>
  <si>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</si>
  <si>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</si>
  <si>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</si>
  <si>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</si>
  <si>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</si>
  <si>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</si>
  <si>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</si>
  <si>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</si>
  <si>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</si>
  <si>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</si>
  <si>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</si>
  <si>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</si>
  <si>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подготовке УУТЭ к осенне-зимнему сезону</t>
  </si>
  <si>
    <t>Работы по испытанию теплового ввода</t>
  </si>
  <si>
    <t>Работы по промывке теплового ввода</t>
  </si>
  <si>
    <t>Услуги по страхованию здания</t>
  </si>
  <si>
    <t>Услуги по обследованию дымоходов</t>
  </si>
  <si>
    <t>Работы по проверке приборов учета</t>
  </si>
  <si>
    <t>Услуги обучения электротехническому минимуму</t>
  </si>
  <si>
    <t>Услуги обучения по эксплуатации тепловых систем</t>
  </si>
  <si>
    <t>Услуги обучения пожарно-техническому минимуму</t>
  </si>
  <si>
    <t>Услуги по приобретению материалов для текущего ремонта</t>
  </si>
  <si>
    <t>Работы текущего ремонта здания и помещений</t>
  </si>
  <si>
    <t>транспортные услуги</t>
  </si>
  <si>
    <t>2.4.Прочие нормативные затраты на общехозяйственные нужды (приложение3)</t>
  </si>
  <si>
    <t>мед.осмотр сотрудников</t>
  </si>
  <si>
    <t>материальные запасы</t>
  </si>
  <si>
    <t>прочие</t>
  </si>
  <si>
    <t xml:space="preserve">Всего </t>
  </si>
  <si>
    <t xml:space="preserve">3. Затраты на содержание движимого имущества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</si>
  <si>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</si>
  <si>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</si>
  <si>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</si>
  <si>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</si>
  <si>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</si>
  <si>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</si>
  <si>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</si>
  <si>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</si>
  <si>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</si>
  <si>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Всего по учреждению</t>
  </si>
  <si>
    <t>Проверка</t>
  </si>
  <si>
    <t>ВР</t>
  </si>
  <si>
    <t>смета</t>
  </si>
  <si>
    <t>отклонение</t>
  </si>
  <si>
    <t>к/р</t>
  </si>
  <si>
    <t>т/обслуживание теплосчетчиков</t>
  </si>
  <si>
    <t>медосмотр</t>
  </si>
  <si>
    <t>Знаки ГТО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</si>
  <si>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</si>
  <si>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</si>
  <si>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</si>
  <si>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</si>
  <si>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 xml:space="preserve">Норматив   </t>
  </si>
  <si>
    <t xml:space="preserve">Норматив  </t>
  </si>
  <si>
    <t xml:space="preserve">Расходы  </t>
  </si>
  <si>
    <t>кол-во ставок учителей</t>
  </si>
  <si>
    <t>кол-во месяцев</t>
  </si>
  <si>
    <t xml:space="preserve">кол-во 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</si>
  <si>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</si>
  <si>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</si>
  <si>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таблица для расчета заработной платы</t>
  </si>
  <si>
    <t>ФЗП в мес</t>
  </si>
  <si>
    <t>ставки</t>
  </si>
  <si>
    <t>без стимуляции</t>
  </si>
  <si>
    <t>стимуляция</t>
  </si>
  <si>
    <t>учителя</t>
  </si>
  <si>
    <t>местный</t>
  </si>
  <si>
    <t>доведение на оклады</t>
  </si>
  <si>
    <t>итог по субвенции</t>
  </si>
  <si>
    <t>итог по местному</t>
  </si>
  <si>
    <t>прочие работы и услуги</t>
  </si>
  <si>
    <t>Прочие расходы (значки ГТО)</t>
  </si>
  <si>
    <t>прочие расходы (налоги)</t>
  </si>
  <si>
    <t>работы, услуги по содержанию имущества</t>
  </si>
  <si>
    <t>Блок 1</t>
  </si>
  <si>
    <t>федеральные</t>
  </si>
  <si>
    <t>Блок 2</t>
  </si>
  <si>
    <t>Блок 3</t>
  </si>
  <si>
    <t>должно быть 0,00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</si>
  <si>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</si>
  <si>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</si>
  <si>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</si>
  <si>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</si>
  <si>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</si>
  <si>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r>
      <t>"</t>
    </r>
    <r>
      <rPr>
        <u val="single"/>
        <sz val="12"/>
        <rFont val="Times New Roman"/>
        <family val="1"/>
      </rPr>
      <t>Организация предоставления общедоступного бесплатного начального общего,   основного общего, среднего (полного) общего образования по основным общеобразовательным программам</t>
    </r>
    <r>
      <rPr>
        <sz val="12"/>
        <rFont val="Times New Roman"/>
        <family val="1"/>
      </rPr>
      <t>"</t>
    </r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</si>
  <si>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</si>
  <si>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</si>
  <si>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</si>
  <si>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</si>
  <si>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</si>
  <si>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</si>
  <si>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</si>
  <si>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</si>
  <si>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</si>
  <si>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</si>
  <si>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</si>
  <si>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</si>
  <si>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</si>
  <si>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</si>
  <si>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</si>
  <si>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</si>
  <si>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</si>
  <si>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</si>
  <si>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 xml:space="preserve">Затраты, непосредственно связанные с оказанием муниципальной услуги, за счет бюджета города Пензы
</t>
  </si>
  <si>
    <t>Затраты, непосредственно связанные с оказанием муниципальной услуги, за счет бюджета Пензенской области</t>
  </si>
  <si>
    <t xml:space="preserve">Затраты, на общехозяйственные нужды, за счет бюджета города Пензы
</t>
  </si>
  <si>
    <t>Затраты, на общехозяйственные нужды, за счет бюджета Пезенской области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</si>
  <si>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</si>
  <si>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</si>
  <si>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</si>
  <si>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</si>
  <si>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</si>
  <si>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</si>
  <si>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</si>
  <si>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</si>
  <si>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</si>
  <si>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</si>
  <si>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</si>
  <si>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</si>
  <si>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</si>
  <si>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</si>
  <si>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</si>
  <si>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</si>
  <si>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</si>
  <si>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</si>
  <si>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</si>
  <si>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</si>
  <si>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</si>
  <si>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</si>
  <si>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</si>
  <si>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</si>
  <si>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Затраты, непосредственно связанные с оказанием муниципальной услуги, за счет средств федерального бюджета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</si>
  <si>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</si>
  <si>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интернет</t>
  </si>
  <si>
    <t>Финансовое обеспечение исполнения муниципального задания осуществляется в пределах субсидий в соответствии с планом финансово-хозяйственной деятельности, утвержденным органом местного самоуправления города Пензы</t>
  </si>
  <si>
    <t>Голодяев Ю.А.</t>
  </si>
  <si>
    <t>Курмаев Х.Г.</t>
  </si>
  <si>
    <t>Х.Г. Курмаев</t>
  </si>
  <si>
    <t>МБОУ СОШ №68 г. Пензы</t>
  </si>
  <si>
    <t>К.В. Соколовская</t>
  </si>
  <si>
    <t>Директор МБОУ СОШ №68___________________________</t>
  </si>
  <si>
    <t>недофинансирование</t>
  </si>
  <si>
    <t>Удовлетворительное</t>
  </si>
  <si>
    <t>Директор МБОУ СОШ №68</t>
  </si>
  <si>
    <r>
      <rPr>
        <sz val="11"/>
        <rFont val="Times New Roman"/>
        <family val="1"/>
      </rPr>
      <t>Наименование муниципального учреждения</t>
    </r>
    <r>
      <rPr>
        <b/>
        <sz val="12"/>
        <rFont val="Times New Roman"/>
        <family val="1"/>
      </rPr>
      <t xml:space="preserve">        </t>
    </r>
    <r>
      <rPr>
        <b/>
        <u val="single"/>
        <sz val="12"/>
        <rFont val="Times New Roman"/>
        <family val="1"/>
      </rPr>
      <t xml:space="preserve"> Муниципальное бюджетное общеобразовательное учреждение "Средняя общеобразовательная школа N68     г. Пензы"</t>
    </r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</si>
  <si>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Пензы, в том числе:</t>
  </si>
  <si>
    <t>Норматив   на   приобретение   материальных   запасов, потребляемых в процессе оказания муниципальной услуги, дополнительное профессиональное образование сотрудников ( за счет бюджета Пензенской области).</t>
  </si>
  <si>
    <t xml:space="preserve">1.1 В том числе затраты, непосредственно связанные с оказанием муниципальной услуги (за счет бюджета города Пензы) . </t>
  </si>
  <si>
    <t xml:space="preserve">1.3 В том числе затраты, непосредственно связанные с оказанием муниципальной услуги, дополнительное профессиональное образование сотрудников ( за счет бюджета Пензенской области) . </t>
  </si>
  <si>
    <t>Изготовление ЭЦП</t>
  </si>
  <si>
    <t>Изготовление аттестатов</t>
  </si>
  <si>
    <t>кассовые расходы по  _МбОУ СОШ №68 по месяцам.</t>
  </si>
  <si>
    <t>Прочие работы и услуги</t>
  </si>
  <si>
    <t>Определение нормативных затрат по  _МБОУ СОШ №_68_по месяцам.</t>
  </si>
  <si>
    <t>2014 год</t>
  </si>
  <si>
    <t>Укомплектованность общеобразовательных учреждений педагогическими кадрами в соответствии в лицензионными требованиями и штатным расписанием</t>
  </si>
  <si>
    <t>не менее 95%</t>
  </si>
  <si>
    <t>Удельный вес учащихся, освоивших программы начального общего, основного общего, среднего (полного) общего образования по результатам промежуточной аттестации</t>
  </si>
  <si>
    <t>не менее 99%</t>
  </si>
  <si>
    <t>Удельный вес выпускников 11 (12) классов общеобразовательных учреждений, получивших аттестат о среднем (полном) общем образовании по результатам государственной (итоговой) аттестации в форме единого государственного экзамена и государственного выпуского экзамена</t>
  </si>
  <si>
    <t>не менее 98%</t>
  </si>
  <si>
    <t>Удовлетворенность учащихся качеством обучения (по итогам анкетирования)</t>
  </si>
  <si>
    <t>не ниже 85%</t>
  </si>
  <si>
    <t>Охват детей школьного возраста всеми формами общего образования (по итогам учета детей в микрорайоне ОУ)</t>
  </si>
  <si>
    <t>Призы</t>
  </si>
  <si>
    <r>
      <t>за 9 месяцев</t>
    </r>
    <r>
      <rPr>
        <u val="single"/>
        <sz val="12"/>
        <rFont val="Times New Roman"/>
        <family val="1"/>
      </rPr>
      <t xml:space="preserve"> 2014 год</t>
    </r>
  </si>
  <si>
    <t>Муниципальное задание за 3 квартал 2014г. планируется исполнить в полном объеме в течении 4 квартала 2014 года, при условии 100% финансирования</t>
  </si>
  <si>
    <t>Расчет норматива затрат, непосредственно  не связанных с оказанием муниципальной услуги</t>
  </si>
  <si>
    <t>621</t>
  </si>
  <si>
    <t>замер сопротивлеия</t>
  </si>
  <si>
    <t>огнезащитная обработка</t>
  </si>
  <si>
    <t>Промывка, опрессовка</t>
  </si>
  <si>
    <t>Услуги 1С</t>
  </si>
  <si>
    <t>электронная отчетность</t>
  </si>
  <si>
    <t>остаток на счете на 1.01.2015</t>
  </si>
  <si>
    <t>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</si>
  <si>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</si>
  <si>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</si>
  <si>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>услуги связи</t>
  </si>
  <si>
    <t>Прочие расходы (призы, госпошлина)</t>
  </si>
  <si>
    <r>
      <t>на период с</t>
    </r>
    <r>
      <rPr>
        <u val="single"/>
        <sz val="12"/>
        <rFont val="Times New Roman"/>
        <family val="1"/>
      </rPr>
      <t xml:space="preserve"> 01.01.2015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31.12.2015 г.</t>
    </r>
  </si>
  <si>
    <r>
      <t xml:space="preserve">на период с </t>
    </r>
    <r>
      <rPr>
        <u val="single"/>
        <sz val="11"/>
        <color indexed="8"/>
        <rFont val="Times New Roman"/>
        <family val="1"/>
      </rPr>
      <t>01.01.2015</t>
    </r>
    <r>
      <rPr>
        <sz val="11"/>
        <color indexed="8"/>
        <rFont val="Times New Roman"/>
        <family val="1"/>
      </rPr>
      <t xml:space="preserve"> по </t>
    </r>
    <r>
      <rPr>
        <u val="single"/>
        <sz val="11"/>
        <color indexed="8"/>
        <rFont val="Times New Roman"/>
        <family val="1"/>
      </rPr>
      <t>31.12.2015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</si>
  <si>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</t>
    </r>
  </si>
  <si>
    <t>с углубленным изучением информатики  № 68</t>
  </si>
  <si>
    <t>226 (обучение)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</si>
</sst>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  <numFmt numFmtId="171" formatCode="#,##0.00;[Red]\-#,##0.00"/>
    <numFmt numFmtId="172" formatCode="0.0000"/>
    <numFmt numFmtId="173" formatCode="0.000"/>
    <numFmt numFmtId="174" formatCode="0.0"/>
    <numFmt numFmtId="175" formatCode="0.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12"/>
      <name val="Verdana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5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 textRotation="90"/>
    </xf>
    <xf numFmtId="2" fontId="5" fillId="33" borderId="10" xfId="0" applyNumberFormat="1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11" fillId="0" borderId="14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wrapText="1"/>
    </xf>
    <xf numFmtId="0" fontId="11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textRotation="90"/>
    </xf>
    <xf numFmtId="0" fontId="8" fillId="0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5" fillId="0" borderId="0" xfId="52" applyAlignment="1">
      <alignment wrapText="1"/>
      <protection/>
    </xf>
    <xf numFmtId="0" fontId="15" fillId="0" borderId="0" xfId="52">
      <alignment/>
      <protection/>
    </xf>
    <xf numFmtId="0" fontId="17" fillId="0" borderId="0" xfId="52" applyFont="1" applyAlignment="1">
      <alignment wrapText="1"/>
      <protection/>
    </xf>
    <xf numFmtId="0" fontId="17" fillId="0" borderId="0" xfId="52" applyFont="1">
      <alignment/>
      <protection/>
    </xf>
    <xf numFmtId="0" fontId="18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wrapText="1"/>
      <protection/>
    </xf>
    <xf numFmtId="0" fontId="20" fillId="0" borderId="21" xfId="52" applyFont="1" applyBorder="1" applyAlignment="1">
      <alignment wrapText="1"/>
      <protection/>
    </xf>
    <xf numFmtId="0" fontId="8" fillId="0" borderId="22" xfId="52" applyFont="1" applyBorder="1" applyAlignment="1">
      <alignment wrapText="1"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5" xfId="52" applyFont="1" applyBorder="1" applyAlignment="1">
      <alignment wrapText="1"/>
      <protection/>
    </xf>
    <xf numFmtId="0" fontId="8" fillId="0" borderId="26" xfId="52" applyFont="1" applyBorder="1" applyAlignment="1">
      <alignment wrapText="1"/>
      <protection/>
    </xf>
    <xf numFmtId="0" fontId="8" fillId="0" borderId="27" xfId="52" applyFont="1" applyBorder="1" applyAlignment="1">
      <alignment wrapText="1"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Protection="1">
      <alignment/>
      <protection locked="0"/>
    </xf>
    <xf numFmtId="0" fontId="8" fillId="0" borderId="21" xfId="52" applyFont="1" applyBorder="1" applyAlignment="1">
      <alignment wrapText="1"/>
      <protection/>
    </xf>
    <xf numFmtId="0" fontId="8" fillId="0" borderId="28" xfId="52" applyFont="1" applyBorder="1" applyAlignment="1">
      <alignment wrapText="1"/>
      <protection/>
    </xf>
    <xf numFmtId="4" fontId="8" fillId="0" borderId="0" xfId="52" applyNumberFormat="1" applyFont="1" applyAlignment="1">
      <alignment wrapText="1"/>
      <protection/>
    </xf>
    <xf numFmtId="4" fontId="8" fillId="0" borderId="10" xfId="52" applyNumberFormat="1" applyFont="1" applyBorder="1" applyAlignment="1">
      <alignment wrapText="1"/>
      <protection/>
    </xf>
    <xf numFmtId="4" fontId="8" fillId="0" borderId="26" xfId="52" applyNumberFormat="1" applyFont="1" applyBorder="1" applyAlignment="1">
      <alignment wrapText="1"/>
      <protection/>
    </xf>
    <xf numFmtId="0" fontId="8" fillId="0" borderId="0" xfId="52" applyFont="1" applyBorder="1">
      <alignment/>
      <protection/>
    </xf>
    <xf numFmtId="4" fontId="8" fillId="0" borderId="24" xfId="52" applyNumberFormat="1" applyFont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21" xfId="52" applyFont="1" applyBorder="1">
      <alignment/>
      <protection/>
    </xf>
    <xf numFmtId="0" fontId="20" fillId="0" borderId="22" xfId="52" applyFont="1" applyBorder="1" applyAlignment="1">
      <alignment wrapText="1"/>
      <protection/>
    </xf>
    <xf numFmtId="0" fontId="8" fillId="0" borderId="23" xfId="52" applyFont="1" applyBorder="1">
      <alignment/>
      <protection/>
    </xf>
    <xf numFmtId="0" fontId="8" fillId="0" borderId="25" xfId="52" applyFont="1" applyBorder="1">
      <alignment/>
      <protection/>
    </xf>
    <xf numFmtId="0" fontId="8" fillId="33" borderId="26" xfId="52" applyFont="1" applyFill="1" applyBorder="1" applyAlignment="1">
      <alignment wrapText="1"/>
      <protection/>
    </xf>
    <xf numFmtId="168" fontId="8" fillId="0" borderId="10" xfId="52" applyNumberFormat="1" applyFont="1" applyFill="1" applyBorder="1">
      <alignment/>
      <protection/>
    </xf>
    <xf numFmtId="0" fontId="15" fillId="0" borderId="0" xfId="52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15" fillId="0" borderId="0" xfId="52" applyBorder="1">
      <alignment/>
      <protection/>
    </xf>
    <xf numFmtId="0" fontId="15" fillId="0" borderId="21" xfId="52" applyBorder="1" applyAlignment="1">
      <alignment wrapText="1"/>
      <protection/>
    </xf>
    <xf numFmtId="0" fontId="15" fillId="0" borderId="22" xfId="52" applyBorder="1" applyAlignment="1">
      <alignment wrapText="1"/>
      <protection/>
    </xf>
    <xf numFmtId="0" fontId="15" fillId="0" borderId="28" xfId="52" applyBorder="1" applyAlignment="1">
      <alignment wrapText="1"/>
      <protection/>
    </xf>
    <xf numFmtId="0" fontId="15" fillId="0" borderId="10" xfId="52" applyBorder="1">
      <alignment/>
      <protection/>
    </xf>
    <xf numFmtId="0" fontId="15" fillId="0" borderId="24" xfId="52" applyBorder="1">
      <alignment/>
      <protection/>
    </xf>
    <xf numFmtId="0" fontId="15" fillId="0" borderId="23" xfId="52" applyBorder="1" applyAlignment="1">
      <alignment wrapText="1"/>
      <protection/>
    </xf>
    <xf numFmtId="0" fontId="8" fillId="0" borderId="29" xfId="52" applyFont="1" applyBorder="1" applyAlignment="1">
      <alignment wrapText="1"/>
      <protection/>
    </xf>
    <xf numFmtId="0" fontId="15" fillId="0" borderId="25" xfId="52" applyBorder="1" applyAlignment="1">
      <alignment wrapText="1"/>
      <protection/>
    </xf>
    <xf numFmtId="0" fontId="15" fillId="0" borderId="26" xfId="52" applyBorder="1">
      <alignment/>
      <protection/>
    </xf>
    <xf numFmtId="0" fontId="15" fillId="0" borderId="27" xfId="52" applyBorder="1">
      <alignment/>
      <protection/>
    </xf>
    <xf numFmtId="0" fontId="17" fillId="0" borderId="0" xfId="52" applyFont="1" applyAlignment="1">
      <alignment horizontal="center"/>
      <protection/>
    </xf>
    <xf numFmtId="0" fontId="8" fillId="0" borderId="30" xfId="52" applyFont="1" applyBorder="1" applyAlignment="1">
      <alignment wrapText="1"/>
      <protection/>
    </xf>
    <xf numFmtId="0" fontId="15" fillId="0" borderId="23" xfId="52" applyBorder="1">
      <alignment/>
      <protection/>
    </xf>
    <xf numFmtId="0" fontId="15" fillId="0" borderId="25" xfId="52" applyBorder="1">
      <alignment/>
      <protection/>
    </xf>
    <xf numFmtId="0" fontId="8" fillId="34" borderId="23" xfId="52" applyFont="1" applyFill="1" applyBorder="1" applyAlignment="1">
      <alignment vertical="top" wrapText="1"/>
      <protection/>
    </xf>
    <xf numFmtId="0" fontId="21" fillId="0" borderId="0" xfId="52" applyFont="1" applyAlignment="1">
      <alignment wrapText="1"/>
      <protection/>
    </xf>
    <xf numFmtId="0" fontId="21" fillId="0" borderId="21" xfId="52" applyFont="1" applyBorder="1" applyAlignment="1">
      <alignment wrapText="1"/>
      <protection/>
    </xf>
    <xf numFmtId="0" fontId="21" fillId="0" borderId="31" xfId="52" applyFont="1" applyBorder="1" applyAlignment="1">
      <alignment wrapText="1"/>
      <protection/>
    </xf>
    <xf numFmtId="0" fontId="15" fillId="0" borderId="10" xfId="52" applyBorder="1" applyAlignment="1">
      <alignment horizontal="center"/>
      <protection/>
    </xf>
    <xf numFmtId="4" fontId="15" fillId="0" borderId="24" xfId="52" applyNumberForma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15" fillId="35" borderId="10" xfId="52" applyFill="1" applyBorder="1" applyAlignment="1">
      <alignment horizontal="center"/>
      <protection/>
    </xf>
    <xf numFmtId="0" fontId="8" fillId="0" borderId="32" xfId="52" applyFont="1" applyBorder="1" applyAlignment="1">
      <alignment horizontal="center" wrapText="1"/>
      <protection/>
    </xf>
    <xf numFmtId="0" fontId="15" fillId="0" borderId="26" xfId="52" applyBorder="1" applyAlignment="1">
      <alignment horizontal="center"/>
      <protection/>
    </xf>
    <xf numFmtId="4" fontId="15" fillId="0" borderId="0" xfId="52" applyNumberFormat="1">
      <alignment/>
      <protection/>
    </xf>
    <xf numFmtId="0" fontId="15" fillId="0" borderId="21" xfId="52" applyFont="1" applyBorder="1" applyAlignment="1">
      <alignment wrapText="1"/>
      <protection/>
    </xf>
    <xf numFmtId="0" fontId="8" fillId="0" borderId="2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15" fillId="0" borderId="10" xfId="52" applyBorder="1" applyProtection="1">
      <alignment/>
      <protection locked="0"/>
    </xf>
    <xf numFmtId="10" fontId="15" fillId="0" borderId="10" xfId="52" applyNumberFormat="1" applyBorder="1">
      <alignment/>
      <protection/>
    </xf>
    <xf numFmtId="0" fontId="15" fillId="0" borderId="24" xfId="52" applyBorder="1" applyProtection="1">
      <alignment/>
      <protection locked="0"/>
    </xf>
    <xf numFmtId="0" fontId="15" fillId="0" borderId="26" xfId="52" applyBorder="1" applyProtection="1">
      <alignment/>
      <protection locked="0"/>
    </xf>
    <xf numFmtId="0" fontId="15" fillId="0" borderId="27" xfId="52" applyBorder="1" applyProtection="1">
      <alignment/>
      <protection locked="0"/>
    </xf>
    <xf numFmtId="0" fontId="24" fillId="0" borderId="0" xfId="52" applyFont="1" applyAlignment="1">
      <alignment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17" fillId="0" borderId="10" xfId="52" applyFont="1" applyBorder="1" applyAlignment="1">
      <alignment horizontal="center" wrapText="1"/>
      <protection/>
    </xf>
    <xf numFmtId="0" fontId="17" fillId="33" borderId="10" xfId="52" applyFont="1" applyFill="1" applyBorder="1" applyAlignment="1" applyProtection="1">
      <alignment horizontal="center" wrapText="1"/>
      <protection locked="0"/>
    </xf>
    <xf numFmtId="0" fontId="20" fillId="0" borderId="33" xfId="52" applyFont="1" applyBorder="1" applyAlignment="1">
      <alignment vertical="top" wrapText="1"/>
      <protection/>
    </xf>
    <xf numFmtId="0" fontId="20" fillId="0" borderId="34" xfId="52" applyFont="1" applyBorder="1" applyAlignment="1">
      <alignment vertical="top" wrapText="1"/>
      <protection/>
    </xf>
    <xf numFmtId="0" fontId="20" fillId="0" borderId="35" xfId="52" applyFont="1" applyBorder="1" applyAlignment="1">
      <alignment vertical="top" wrapText="1"/>
      <protection/>
    </xf>
    <xf numFmtId="0" fontId="20" fillId="0" borderId="21" xfId="52" applyFont="1" applyBorder="1" applyAlignment="1">
      <alignment vertical="top" wrapText="1"/>
      <protection/>
    </xf>
    <xf numFmtId="0" fontId="8" fillId="0" borderId="22" xfId="52" applyFont="1" applyBorder="1" applyAlignment="1">
      <alignment horizontal="center" vertical="top" wrapText="1"/>
      <protection/>
    </xf>
    <xf numFmtId="0" fontId="8" fillId="0" borderId="36" xfId="52" applyFont="1" applyBorder="1" applyAlignment="1">
      <alignment horizontal="center" vertical="top" wrapText="1"/>
      <protection/>
    </xf>
    <xf numFmtId="4" fontId="8" fillId="0" borderId="28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0" borderId="37" xfId="52" applyFont="1" applyBorder="1" applyAlignment="1">
      <alignment horizontal="center" vertical="top" wrapText="1"/>
      <protection/>
    </xf>
    <xf numFmtId="4" fontId="8" fillId="0" borderId="38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wrapText="1"/>
      <protection/>
    </xf>
    <xf numFmtId="0" fontId="20" fillId="36" borderId="25" xfId="52" applyFont="1" applyFill="1" applyBorder="1" applyAlignment="1">
      <alignment wrapText="1"/>
      <protection/>
    </xf>
    <xf numFmtId="0" fontId="8" fillId="36" borderId="26" xfId="52" applyFont="1" applyFill="1" applyBorder="1" applyAlignment="1">
      <alignment horizontal="center" vertical="top" wrapText="1"/>
      <protection/>
    </xf>
    <xf numFmtId="4" fontId="8" fillId="36" borderId="27" xfId="52" applyNumberFormat="1" applyFont="1" applyFill="1" applyBorder="1" applyAlignment="1">
      <alignment horizontal="center" vertical="top" wrapText="1"/>
      <protection/>
    </xf>
    <xf numFmtId="0" fontId="15" fillId="36" borderId="0" xfId="52" applyFont="1" applyFill="1">
      <alignment/>
      <protection/>
    </xf>
    <xf numFmtId="0" fontId="15" fillId="34" borderId="0" xfId="52" applyFont="1" applyFill="1">
      <alignment/>
      <protection/>
    </xf>
    <xf numFmtId="4" fontId="8" fillId="0" borderId="24" xfId="52" applyNumberFormat="1" applyFont="1" applyBorder="1" applyAlignment="1">
      <alignment horizontal="center" vertical="top" wrapText="1"/>
      <protection/>
    </xf>
    <xf numFmtId="0" fontId="20" fillId="0" borderId="29" xfId="52" applyFont="1" applyBorder="1" applyAlignment="1">
      <alignment vertical="top" wrapText="1"/>
      <protection/>
    </xf>
    <xf numFmtId="0" fontId="20" fillId="36" borderId="25" xfId="52" applyFont="1" applyFill="1" applyBorder="1" applyAlignment="1">
      <alignment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6" borderId="25" xfId="52" applyFont="1" applyFill="1" applyBorder="1" applyAlignment="1">
      <alignment vertical="top" wrapText="1"/>
      <protection/>
    </xf>
    <xf numFmtId="0" fontId="8" fillId="36" borderId="26" xfId="52" applyFont="1" applyFill="1" applyBorder="1" applyAlignment="1">
      <alignment vertical="top" wrapText="1"/>
      <protection/>
    </xf>
    <xf numFmtId="0" fontId="8" fillId="0" borderId="21" xfId="52" applyFont="1" applyBorder="1" applyAlignment="1">
      <alignment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vertical="top" wrapText="1"/>
      <protection/>
    </xf>
    <xf numFmtId="0" fontId="8" fillId="0" borderId="24" xfId="52" applyFont="1" applyBorder="1" applyAlignment="1">
      <alignment horizontal="center" vertical="top" wrapText="1"/>
      <protection/>
    </xf>
    <xf numFmtId="0" fontId="8" fillId="36" borderId="27" xfId="52" applyFont="1" applyFill="1" applyBorder="1" applyAlignment="1">
      <alignment horizontal="center" vertical="top" wrapText="1"/>
      <protection/>
    </xf>
    <xf numFmtId="0" fontId="8" fillId="0" borderId="22" xfId="52" applyFont="1" applyBorder="1" applyAlignment="1">
      <alignment vertical="top" wrapText="1"/>
      <protection/>
    </xf>
    <xf numFmtId="0" fontId="8" fillId="0" borderId="3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39" xfId="52" applyFont="1" applyBorder="1" applyAlignment="1">
      <alignment horizontal="center" vertical="top" wrapText="1"/>
      <protection/>
    </xf>
    <xf numFmtId="0" fontId="8" fillId="37" borderId="25" xfId="52" applyFont="1" applyFill="1" applyBorder="1" applyAlignment="1">
      <alignment vertical="top" wrapText="1"/>
      <protection/>
    </xf>
    <xf numFmtId="0" fontId="8" fillId="37" borderId="26" xfId="52" applyFont="1" applyFill="1" applyBorder="1" applyAlignment="1">
      <alignment vertical="top" wrapText="1"/>
      <protection/>
    </xf>
    <xf numFmtId="0" fontId="8" fillId="37" borderId="27" xfId="52" applyFont="1" applyFill="1" applyBorder="1" applyAlignment="1">
      <alignment horizontal="center" vertical="top" wrapText="1"/>
      <protection/>
    </xf>
    <xf numFmtId="0" fontId="15" fillId="37" borderId="0" xfId="52" applyFont="1" applyFill="1">
      <alignment/>
      <protection/>
    </xf>
    <xf numFmtId="0" fontId="8" fillId="34" borderId="21" xfId="52" applyFont="1" applyFill="1" applyBorder="1" applyAlignment="1">
      <alignment vertical="top" wrapText="1"/>
      <protection/>
    </xf>
    <xf numFmtId="0" fontId="8" fillId="34" borderId="22" xfId="52" applyFont="1" applyFill="1" applyBorder="1" applyAlignment="1">
      <alignment horizontal="center" vertical="top" wrapText="1"/>
      <protection/>
    </xf>
    <xf numFmtId="0" fontId="8" fillId="34" borderId="22" xfId="52" applyFont="1" applyFill="1" applyBorder="1" applyAlignment="1">
      <alignment vertical="top" wrapText="1"/>
      <protection/>
    </xf>
    <xf numFmtId="0" fontId="8" fillId="34" borderId="10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vertical="top" wrapText="1"/>
      <protection/>
    </xf>
    <xf numFmtId="4" fontId="8" fillId="34" borderId="28" xfId="52" applyNumberFormat="1" applyFont="1" applyFill="1" applyBorder="1" applyAlignment="1">
      <alignment horizontal="center" vertical="top" wrapText="1"/>
      <protection/>
    </xf>
    <xf numFmtId="4" fontId="8" fillId="34" borderId="24" xfId="52" applyNumberFormat="1" applyFont="1" applyFill="1" applyBorder="1" applyAlignment="1">
      <alignment horizontal="center" vertical="top" wrapText="1"/>
      <protection/>
    </xf>
    <xf numFmtId="0" fontId="8" fillId="34" borderId="25" xfId="52" applyFont="1" applyFill="1" applyBorder="1" applyAlignment="1">
      <alignment vertical="top" wrapText="1"/>
      <protection/>
    </xf>
    <xf numFmtId="0" fontId="8" fillId="0" borderId="26" xfId="52" applyFont="1" applyBorder="1" applyAlignment="1">
      <alignment horizontal="center" vertical="top" wrapText="1"/>
      <protection/>
    </xf>
    <xf numFmtId="0" fontId="8" fillId="34" borderId="26" xfId="52" applyFont="1" applyFill="1" applyBorder="1" applyAlignment="1">
      <alignment vertical="top" wrapText="1"/>
      <protection/>
    </xf>
    <xf numFmtId="0" fontId="8" fillId="0" borderId="40" xfId="52" applyFont="1" applyBorder="1" applyAlignment="1">
      <alignment horizontal="center" vertical="top" wrapText="1"/>
      <protection/>
    </xf>
    <xf numFmtId="4" fontId="8" fillId="34" borderId="27" xfId="52" applyNumberFormat="1" applyFont="1" applyFill="1" applyBorder="1" applyAlignment="1">
      <alignment horizontal="center" vertical="top" wrapText="1"/>
      <protection/>
    </xf>
    <xf numFmtId="0" fontId="8" fillId="36" borderId="37" xfId="52" applyFont="1" applyFill="1" applyBorder="1" applyAlignment="1">
      <alignment vertical="top" wrapText="1"/>
      <protection/>
    </xf>
    <xf numFmtId="4" fontId="8" fillId="36" borderId="37" xfId="52" applyNumberFormat="1" applyFont="1" applyFill="1" applyBorder="1" applyAlignment="1">
      <alignment horizontal="center" vertical="top" wrapText="1"/>
      <protection/>
    </xf>
    <xf numFmtId="2" fontId="8" fillId="0" borderId="22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0" fontId="8" fillId="38" borderId="25" xfId="52" applyFont="1" applyFill="1" applyBorder="1" applyAlignment="1">
      <alignment vertical="top" wrapText="1"/>
      <protection/>
    </xf>
    <xf numFmtId="0" fontId="8" fillId="38" borderId="26" xfId="52" applyFont="1" applyFill="1" applyBorder="1" applyAlignment="1">
      <alignment horizontal="center" vertical="top" wrapText="1"/>
      <protection/>
    </xf>
    <xf numFmtId="4" fontId="8" fillId="38" borderId="27" xfId="52" applyNumberFormat="1" applyFont="1" applyFill="1" applyBorder="1" applyAlignment="1">
      <alignment horizontal="center" vertical="top" wrapText="1"/>
      <protection/>
    </xf>
    <xf numFmtId="0" fontId="8" fillId="38" borderId="26" xfId="52" applyFont="1" applyFill="1" applyBorder="1" applyAlignment="1">
      <alignment vertical="top" wrapText="1"/>
      <protection/>
    </xf>
    <xf numFmtId="0" fontId="8" fillId="39" borderId="33" xfId="52" applyFont="1" applyFill="1" applyBorder="1" applyAlignment="1">
      <alignment vertical="top" wrapText="1"/>
      <protection/>
    </xf>
    <xf numFmtId="0" fontId="8" fillId="39" borderId="34" xfId="52" applyFont="1" applyFill="1" applyBorder="1" applyAlignment="1">
      <alignment vertical="top" wrapText="1"/>
      <protection/>
    </xf>
    <xf numFmtId="4" fontId="8" fillId="39" borderId="34" xfId="52" applyNumberFormat="1" applyFont="1" applyFill="1" applyBorder="1" applyAlignment="1">
      <alignment horizontal="center" vertical="top" wrapText="1"/>
      <protection/>
    </xf>
    <xf numFmtId="4" fontId="8" fillId="39" borderId="35" xfId="52" applyNumberFormat="1" applyFont="1" applyFill="1" applyBorder="1" applyAlignment="1">
      <alignment horizontal="center" vertical="top" wrapText="1"/>
      <protection/>
    </xf>
    <xf numFmtId="0" fontId="15" fillId="39" borderId="0" xfId="52" applyFont="1" applyFill="1">
      <alignment/>
      <protection/>
    </xf>
    <xf numFmtId="10" fontId="8" fillId="0" borderId="22" xfId="52" applyNumberFormat="1" applyFont="1" applyBorder="1" applyAlignment="1">
      <alignment horizontal="center" vertical="top" wrapText="1"/>
      <protection/>
    </xf>
    <xf numFmtId="10" fontId="8" fillId="0" borderId="10" xfId="52" applyNumberFormat="1" applyFont="1" applyBorder="1" applyAlignment="1">
      <alignment horizontal="center" vertical="top" wrapText="1"/>
      <protection/>
    </xf>
    <xf numFmtId="49" fontId="8" fillId="0" borderId="23" xfId="52" applyNumberFormat="1" applyFont="1" applyBorder="1" applyAlignment="1">
      <alignment vertical="top" wrapText="1"/>
      <protection/>
    </xf>
    <xf numFmtId="0" fontId="8" fillId="40" borderId="25" xfId="52" applyFont="1" applyFill="1" applyBorder="1" applyAlignment="1">
      <alignment vertical="top" wrapText="1"/>
      <protection/>
    </xf>
    <xf numFmtId="0" fontId="8" fillId="40" borderId="26" xfId="52" applyFont="1" applyFill="1" applyBorder="1" applyAlignment="1">
      <alignment horizontal="center" vertical="top" wrapText="1"/>
      <protection/>
    </xf>
    <xf numFmtId="10" fontId="8" fillId="40" borderId="26" xfId="52" applyNumberFormat="1" applyFont="1" applyFill="1" applyBorder="1" applyAlignment="1">
      <alignment horizontal="center" vertical="top" wrapText="1"/>
      <protection/>
    </xf>
    <xf numFmtId="2" fontId="8" fillId="40" borderId="26" xfId="52" applyNumberFormat="1" applyFont="1" applyFill="1" applyBorder="1" applyAlignment="1">
      <alignment horizontal="center" vertical="top" wrapText="1"/>
      <protection/>
    </xf>
    <xf numFmtId="4" fontId="8" fillId="40" borderId="27" xfId="52" applyNumberFormat="1" applyFont="1" applyFill="1" applyBorder="1" applyAlignment="1">
      <alignment horizontal="center" vertical="top" wrapText="1"/>
      <protection/>
    </xf>
    <xf numFmtId="0" fontId="15" fillId="38" borderId="0" xfId="52" applyFont="1" applyFill="1">
      <alignment/>
      <protection/>
    </xf>
    <xf numFmtId="0" fontId="28" fillId="0" borderId="33" xfId="52" applyFont="1" applyFill="1" applyBorder="1" applyAlignment="1">
      <alignment vertical="top" wrapText="1"/>
      <protection/>
    </xf>
    <xf numFmtId="0" fontId="15" fillId="0" borderId="34" xfId="52" applyFont="1" applyBorder="1">
      <alignment/>
      <protection/>
    </xf>
    <xf numFmtId="4" fontId="28" fillId="0" borderId="34" xfId="52" applyNumberFormat="1" applyFont="1" applyBorder="1" applyAlignment="1">
      <alignment horizontal="center"/>
      <protection/>
    </xf>
    <xf numFmtId="0" fontId="28" fillId="0" borderId="34" xfId="52" applyFont="1" applyBorder="1">
      <alignment/>
      <protection/>
    </xf>
    <xf numFmtId="4" fontId="28" fillId="0" borderId="35" xfId="52" applyNumberFormat="1" applyFont="1" applyBorder="1" applyAlignment="1">
      <alignment horizontal="center"/>
      <protection/>
    </xf>
    <xf numFmtId="4" fontId="15" fillId="0" borderId="0" xfId="52" applyNumberFormat="1" applyFont="1" applyAlignment="1">
      <alignment horizontal="center"/>
      <protection/>
    </xf>
    <xf numFmtId="4" fontId="15" fillId="0" borderId="0" xfId="52" applyNumberFormat="1" applyFont="1">
      <alignment/>
      <protection/>
    </xf>
    <xf numFmtId="0" fontId="30" fillId="0" borderId="10" xfId="52" applyFont="1" applyBorder="1">
      <alignment/>
      <protection/>
    </xf>
    <xf numFmtId="4" fontId="30" fillId="0" borderId="10" xfId="52" applyNumberFormat="1" applyFont="1" applyBorder="1">
      <alignment/>
      <protection/>
    </xf>
    <xf numFmtId="4" fontId="30" fillId="0" borderId="0" xfId="52" applyNumberFormat="1" applyFont="1" applyProtection="1">
      <alignment/>
      <protection locked="0"/>
    </xf>
    <xf numFmtId="0" fontId="30" fillId="0" borderId="0" xfId="52" applyFont="1" applyProtection="1">
      <alignment/>
      <protection locked="0"/>
    </xf>
    <xf numFmtId="0" fontId="30" fillId="0" borderId="0" xfId="52" applyFont="1">
      <alignment/>
      <protection/>
    </xf>
    <xf numFmtId="4" fontId="30" fillId="41" borderId="10" xfId="52" applyNumberFormat="1" applyFont="1" applyFill="1" applyBorder="1">
      <alignment/>
      <protection/>
    </xf>
    <xf numFmtId="4" fontId="15" fillId="0" borderId="10" xfId="52" applyNumberFormat="1" applyBorder="1">
      <alignment/>
      <protection/>
    </xf>
    <xf numFmtId="49" fontId="30" fillId="0" borderId="10" xfId="52" applyNumberFormat="1" applyFont="1" applyBorder="1" applyAlignment="1">
      <alignment horizontal="right"/>
      <protection/>
    </xf>
    <xf numFmtId="4" fontId="15" fillId="33" borderId="10" xfId="52" applyNumberFormat="1" applyFont="1" applyFill="1" applyBorder="1" applyProtection="1">
      <alignment/>
      <protection locked="0"/>
    </xf>
    <xf numFmtId="4" fontId="15" fillId="0" borderId="10" xfId="52" applyNumberFormat="1" applyFont="1" applyBorder="1">
      <alignment/>
      <protection/>
    </xf>
    <xf numFmtId="4" fontId="15" fillId="33" borderId="10" xfId="52" applyNumberFormat="1" applyFill="1" applyBorder="1" applyProtection="1">
      <alignment/>
      <protection locked="0"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8" fillId="0" borderId="24" xfId="52" applyFont="1" applyBorder="1">
      <alignment/>
      <protection/>
    </xf>
    <xf numFmtId="0" fontId="8" fillId="0" borderId="26" xfId="52" applyFont="1" applyBorder="1">
      <alignment/>
      <protection/>
    </xf>
    <xf numFmtId="0" fontId="8" fillId="0" borderId="27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39" xfId="52" applyFont="1" applyBorder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Fill="1">
      <alignment/>
      <protection/>
    </xf>
    <xf numFmtId="0" fontId="8" fillId="0" borderId="0" xfId="52" applyFont="1" applyProtection="1">
      <alignment/>
      <protection locked="0"/>
    </xf>
    <xf numFmtId="0" fontId="8" fillId="0" borderId="10" xfId="0" applyFont="1" applyBorder="1" applyAlignment="1">
      <alignment/>
    </xf>
    <xf numFmtId="0" fontId="8" fillId="42" borderId="10" xfId="0" applyFont="1" applyFill="1" applyBorder="1" applyAlignment="1">
      <alignment/>
    </xf>
    <xf numFmtId="4" fontId="8" fillId="0" borderId="10" xfId="0" applyNumberFormat="1" applyFont="1" applyBorder="1" applyAlignment="1">
      <alignment wrapText="1"/>
    </xf>
    <xf numFmtId="0" fontId="13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/>
      <protection/>
    </xf>
    <xf numFmtId="4" fontId="8" fillId="0" borderId="27" xfId="52" applyNumberFormat="1" applyFont="1" applyBorder="1" applyAlignment="1">
      <alignment wrapText="1"/>
      <protection/>
    </xf>
    <xf numFmtId="4" fontId="8" fillId="36" borderId="26" xfId="52" applyNumberFormat="1" applyFont="1" applyFill="1" applyBorder="1" applyAlignment="1">
      <alignment horizontal="center" vertical="top" wrapText="1"/>
      <protection/>
    </xf>
    <xf numFmtId="4" fontId="8" fillId="0" borderId="28" xfId="52" applyNumberFormat="1" applyFont="1" applyBorder="1" applyAlignment="1">
      <alignment horizontal="center"/>
      <protection/>
    </xf>
    <xf numFmtId="4" fontId="8" fillId="0" borderId="24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 applyProtection="1">
      <alignment/>
      <protection locked="0"/>
    </xf>
    <xf numFmtId="4" fontId="3" fillId="5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3" fillId="11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43" borderId="10" xfId="0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/>
      <protection locked="0"/>
    </xf>
    <xf numFmtId="4" fontId="34" fillId="0" borderId="0" xfId="0" applyNumberFormat="1" applyFont="1" applyFill="1" applyBorder="1" applyAlignment="1" applyProtection="1">
      <alignment/>
      <protection locked="0"/>
    </xf>
    <xf numFmtId="0" fontId="3" fillId="19" borderId="0" xfId="0" applyFont="1" applyFill="1" applyAlignment="1">
      <alignment/>
    </xf>
    <xf numFmtId="0" fontId="34" fillId="44" borderId="0" xfId="0" applyFont="1" applyFill="1" applyBorder="1" applyAlignment="1">
      <alignment/>
    </xf>
    <xf numFmtId="0" fontId="34" fillId="44" borderId="0" xfId="0" applyFont="1" applyFill="1" applyBorder="1" applyAlignment="1" applyProtection="1">
      <alignment/>
      <protection locked="0"/>
    </xf>
    <xf numFmtId="0" fontId="34" fillId="44" borderId="0" xfId="0" applyFont="1" applyFill="1" applyBorder="1" applyAlignment="1" applyProtection="1">
      <alignment/>
      <protection locked="0"/>
    </xf>
    <xf numFmtId="0" fontId="3" fillId="44" borderId="10" xfId="0" applyFont="1" applyFill="1" applyBorder="1" applyAlignment="1">
      <alignment/>
    </xf>
    <xf numFmtId="4" fontId="35" fillId="5" borderId="10" xfId="0" applyNumberFormat="1" applyFont="1" applyFill="1" applyBorder="1" applyAlignment="1">
      <alignment/>
    </xf>
    <xf numFmtId="4" fontId="35" fillId="44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45" borderId="0" xfId="0" applyFont="1" applyFill="1" applyAlignment="1" applyProtection="1">
      <alignment/>
      <protection locked="0"/>
    </xf>
    <xf numFmtId="4" fontId="3" fillId="45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76" fillId="0" borderId="10" xfId="0" applyFont="1" applyFill="1" applyBorder="1" applyAlignment="1">
      <alignment horizontal="center" vertical="center"/>
    </xf>
    <xf numFmtId="169" fontId="13" fillId="46" borderId="10" xfId="0" applyNumberFormat="1" applyFont="1" applyFill="1" applyBorder="1" applyAlignment="1">
      <alignment horizontal="right"/>
    </xf>
    <xf numFmtId="169" fontId="8" fillId="47" borderId="10" xfId="0" applyNumberFormat="1" applyFont="1" applyFill="1" applyBorder="1" applyAlignment="1">
      <alignment/>
    </xf>
    <xf numFmtId="0" fontId="76" fillId="47" borderId="0" xfId="0" applyFont="1" applyFill="1" applyAlignment="1">
      <alignment/>
    </xf>
    <xf numFmtId="169" fontId="8" fillId="0" borderId="10" xfId="0" applyNumberFormat="1" applyFont="1" applyFill="1" applyBorder="1" applyAlignment="1">
      <alignment/>
    </xf>
    <xf numFmtId="170" fontId="76" fillId="0" borderId="0" xfId="0" applyNumberFormat="1" applyFont="1" applyFill="1" applyAlignment="1">
      <alignment/>
    </xf>
    <xf numFmtId="169" fontId="76" fillId="0" borderId="10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0" fontId="76" fillId="46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0" fontId="74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11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41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14" fontId="6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8" fillId="0" borderId="14" xfId="52" applyFont="1" applyFill="1" applyBorder="1">
      <alignment/>
      <protection/>
    </xf>
    <xf numFmtId="0" fontId="8" fillId="0" borderId="37" xfId="52" applyFont="1" applyBorder="1">
      <alignment/>
      <protection/>
    </xf>
    <xf numFmtId="0" fontId="79" fillId="0" borderId="0" xfId="0" applyFont="1" applyAlignment="1">
      <alignment/>
    </xf>
    <xf numFmtId="169" fontId="76" fillId="0" borderId="0" xfId="0" applyNumberFormat="1" applyFont="1" applyFill="1" applyAlignment="1">
      <alignment/>
    </xf>
    <xf numFmtId="2" fontId="15" fillId="0" borderId="0" xfId="52" applyNumberFormat="1" applyFont="1" applyFill="1">
      <alignment/>
      <protection/>
    </xf>
    <xf numFmtId="2" fontId="2" fillId="0" borderId="0" xfId="0" applyNumberFormat="1" applyFont="1" applyAlignment="1">
      <alignment/>
    </xf>
    <xf numFmtId="169" fontId="76" fillId="46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textRotation="90"/>
    </xf>
    <xf numFmtId="2" fontId="5" fillId="0" borderId="10" xfId="0" applyNumberFormat="1" applyFont="1" applyFill="1" applyBorder="1" applyAlignment="1">
      <alignment textRotation="90"/>
    </xf>
    <xf numFmtId="0" fontId="5" fillId="0" borderId="10" xfId="0" applyFont="1" applyFill="1" applyBorder="1" applyAlignment="1">
      <alignment textRotation="90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0" xfId="0" applyFont="1" applyBorder="1" applyAlignment="1">
      <alignment textRotation="90"/>
    </xf>
    <xf numFmtId="0" fontId="10" fillId="0" borderId="10" xfId="0" applyFont="1" applyFill="1" applyBorder="1" applyAlignment="1">
      <alignment textRotation="90"/>
    </xf>
    <xf numFmtId="0" fontId="77" fillId="0" borderId="10" xfId="0" applyFont="1" applyBorder="1" applyAlignment="1">
      <alignment textRotation="90"/>
    </xf>
    <xf numFmtId="0" fontId="77" fillId="0" borderId="10" xfId="0" applyFont="1" applyFill="1" applyBorder="1" applyAlignment="1">
      <alignment textRotation="90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textRotation="90"/>
    </xf>
    <xf numFmtId="2" fontId="10" fillId="0" borderId="10" xfId="0" applyNumberFormat="1" applyFont="1" applyFill="1" applyBorder="1" applyAlignment="1">
      <alignment/>
    </xf>
    <xf numFmtId="2" fontId="8" fillId="0" borderId="26" xfId="52" applyNumberFormat="1" applyFont="1" applyBorder="1">
      <alignment/>
      <protection/>
    </xf>
    <xf numFmtId="0" fontId="8" fillId="2" borderId="23" xfId="52" applyFont="1" applyFill="1" applyBorder="1">
      <alignment/>
      <protection/>
    </xf>
    <xf numFmtId="0" fontId="8" fillId="2" borderId="12" xfId="52" applyFont="1" applyFill="1" applyBorder="1" applyAlignment="1">
      <alignment horizontal="center"/>
      <protection/>
    </xf>
    <xf numFmtId="0" fontId="15" fillId="2" borderId="10" xfId="52" applyFill="1" applyBorder="1" applyAlignment="1">
      <alignment horizontal="center"/>
      <protection/>
    </xf>
    <xf numFmtId="4" fontId="15" fillId="2" borderId="24" xfId="52" applyNumberFormat="1" applyFill="1" applyBorder="1" applyAlignment="1">
      <alignment horizontal="center"/>
      <protection/>
    </xf>
    <xf numFmtId="0" fontId="15" fillId="11" borderId="10" xfId="52" applyFill="1" applyBorder="1" applyAlignment="1">
      <alignment horizontal="center"/>
      <protection/>
    </xf>
    <xf numFmtId="4" fontId="15" fillId="11" borderId="24" xfId="52" applyNumberFormat="1" applyFill="1" applyBorder="1" applyAlignment="1">
      <alignment horizontal="center"/>
      <protection/>
    </xf>
    <xf numFmtId="0" fontId="8" fillId="13" borderId="23" xfId="52" applyFont="1" applyFill="1" applyBorder="1">
      <alignment/>
      <protection/>
    </xf>
    <xf numFmtId="0" fontId="8" fillId="13" borderId="12" xfId="52" applyFont="1" applyFill="1" applyBorder="1" applyAlignment="1">
      <alignment horizontal="center"/>
      <protection/>
    </xf>
    <xf numFmtId="0" fontId="15" fillId="13" borderId="10" xfId="52" applyFill="1" applyBorder="1" applyAlignment="1">
      <alignment horizontal="center"/>
      <protection/>
    </xf>
    <xf numFmtId="4" fontId="15" fillId="13" borderId="24" xfId="52" applyNumberFormat="1" applyFill="1" applyBorder="1" applyAlignment="1">
      <alignment horizontal="center"/>
      <protection/>
    </xf>
    <xf numFmtId="0" fontId="8" fillId="11" borderId="23" xfId="52" applyFont="1" applyFill="1" applyBorder="1" applyAlignment="1">
      <alignment wrapText="1"/>
      <protection/>
    </xf>
    <xf numFmtId="0" fontId="8" fillId="11" borderId="12" xfId="52" applyFont="1" applyFill="1" applyBorder="1" applyAlignment="1">
      <alignment horizontal="center" wrapText="1"/>
      <protection/>
    </xf>
    <xf numFmtId="0" fontId="76" fillId="0" borderId="24" xfId="52" applyFont="1" applyBorder="1">
      <alignment/>
      <protection/>
    </xf>
    <xf numFmtId="1" fontId="3" fillId="4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11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top"/>
    </xf>
    <xf numFmtId="9" fontId="76" fillId="0" borderId="10" xfId="0" applyNumberFormat="1" applyFont="1" applyFill="1" applyBorder="1" applyAlignment="1">
      <alignment horizontal="center" vertical="center"/>
    </xf>
    <xf numFmtId="0" fontId="8" fillId="0" borderId="42" xfId="52" applyFont="1" applyBorder="1" applyAlignment="1">
      <alignment wrapText="1"/>
      <protection/>
    </xf>
    <xf numFmtId="0" fontId="8" fillId="0" borderId="20" xfId="52" applyFont="1" applyBorder="1" applyAlignment="1">
      <alignment wrapText="1"/>
      <protection/>
    </xf>
    <xf numFmtId="0" fontId="8" fillId="0" borderId="43" xfId="52" applyFont="1" applyBorder="1" applyAlignment="1">
      <alignment wrapText="1"/>
      <protection/>
    </xf>
    <xf numFmtId="2" fontId="8" fillId="0" borderId="10" xfId="52" applyNumberFormat="1" applyFont="1" applyBorder="1" applyAlignment="1">
      <alignment wrapText="1"/>
      <protection/>
    </xf>
    <xf numFmtId="0" fontId="3" fillId="41" borderId="10" xfId="0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0" fontId="15" fillId="0" borderId="37" xfId="52" applyBorder="1">
      <alignment/>
      <protection/>
    </xf>
    <xf numFmtId="0" fontId="8" fillId="0" borderId="38" xfId="52" applyFont="1" applyBorder="1">
      <alignment/>
      <protection/>
    </xf>
    <xf numFmtId="0" fontId="8" fillId="0" borderId="44" xfId="52" applyFont="1" applyBorder="1" applyAlignment="1">
      <alignment wrapText="1"/>
      <protection/>
    </xf>
    <xf numFmtId="0" fontId="8" fillId="0" borderId="40" xfId="52" applyFont="1" applyBorder="1">
      <alignment/>
      <protection/>
    </xf>
    <xf numFmtId="0" fontId="8" fillId="0" borderId="45" xfId="52" applyFont="1" applyBorder="1">
      <alignment/>
      <protection/>
    </xf>
    <xf numFmtId="2" fontId="8" fillId="0" borderId="27" xfId="52" applyNumberFormat="1" applyFont="1" applyBorder="1">
      <alignment/>
      <protection/>
    </xf>
    <xf numFmtId="2" fontId="15" fillId="0" borderId="10" xfId="52" applyNumberFormat="1" applyBorder="1" applyProtection="1">
      <alignment/>
      <protection locked="0"/>
    </xf>
    <xf numFmtId="2" fontId="5" fillId="41" borderId="10" xfId="0" applyNumberFormat="1" applyFont="1" applyFill="1" applyBorder="1" applyAlignment="1">
      <alignment textRotation="90"/>
    </xf>
    <xf numFmtId="0" fontId="4" fillId="0" borderId="0" xfId="0" applyFont="1" applyAlignment="1">
      <alignment/>
    </xf>
    <xf numFmtId="0" fontId="8" fillId="0" borderId="23" xfId="52" applyFont="1" applyBorder="1" applyAlignment="1">
      <alignment horizontal="right"/>
      <protection/>
    </xf>
    <xf numFmtId="2" fontId="3" fillId="0" borderId="4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0" fillId="0" borderId="46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81" fillId="0" borderId="46" xfId="0" applyFont="1" applyBorder="1" applyAlignment="1">
      <alignment horizontal="left" wrapText="1"/>
    </xf>
    <xf numFmtId="0" fontId="81" fillId="0" borderId="41" xfId="0" applyFont="1" applyBorder="1" applyAlignment="1">
      <alignment horizontal="left" wrapText="1"/>
    </xf>
    <xf numFmtId="0" fontId="81" fillId="0" borderId="12" xfId="0" applyFont="1" applyBorder="1" applyAlignment="1">
      <alignment horizontal="left" wrapText="1"/>
    </xf>
    <xf numFmtId="4" fontId="3" fillId="0" borderId="4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2" fontId="11" fillId="0" borderId="46" xfId="0" applyNumberFormat="1" applyFont="1" applyBorder="1" applyAlignment="1">
      <alignment horizontal="left" wrapText="1"/>
    </xf>
    <xf numFmtId="2" fontId="11" fillId="0" borderId="41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0" fontId="11" fillId="0" borderId="4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3" fillId="0" borderId="46" xfId="0" applyNumberFormat="1" applyFont="1" applyBorder="1" applyAlignment="1">
      <alignment horizontal="center" textRotation="90"/>
    </xf>
    <xf numFmtId="4" fontId="3" fillId="0" borderId="12" xfId="0" applyNumberFormat="1" applyFont="1" applyBorder="1" applyAlignment="1">
      <alignment horizontal="center" textRotation="90"/>
    </xf>
    <xf numFmtId="4" fontId="82" fillId="0" borderId="46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center"/>
    </xf>
    <xf numFmtId="0" fontId="81" fillId="0" borderId="46" xfId="0" applyFont="1" applyBorder="1" applyAlignment="1">
      <alignment wrapText="1"/>
    </xf>
    <xf numFmtId="0" fontId="81" fillId="0" borderId="41" xfId="0" applyFont="1" applyBorder="1" applyAlignment="1">
      <alignment wrapText="1"/>
    </xf>
    <xf numFmtId="0" fontId="81" fillId="0" borderId="12" xfId="0" applyFont="1" applyBorder="1" applyAlignment="1">
      <alignment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4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8" fillId="0" borderId="46" xfId="0" applyNumberFormat="1" applyFont="1" applyFill="1" applyBorder="1" applyAlignment="1">
      <alignment horizontal="center" vertical="top"/>
    </xf>
    <xf numFmtId="9" fontId="8" fillId="0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 wrapText="1"/>
    </xf>
    <xf numFmtId="0" fontId="79" fillId="0" borderId="46" xfId="0" applyFont="1" applyBorder="1" applyAlignment="1">
      <alignment horizontal="left" wrapText="1"/>
    </xf>
    <xf numFmtId="0" fontId="79" fillId="0" borderId="41" xfId="0" applyFont="1" applyBorder="1" applyAlignment="1">
      <alignment horizontal="left" wrapText="1"/>
    </xf>
    <xf numFmtId="0" fontId="79" fillId="0" borderId="12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1" fillId="0" borderId="46" xfId="0" applyFont="1" applyBorder="1" applyAlignment="1">
      <alignment horizontal="left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8" fillId="39" borderId="46" xfId="52" applyNumberFormat="1" applyFont="1" applyFill="1" applyBorder="1" applyAlignment="1">
      <alignment horizontal="center" wrapText="1"/>
      <protection/>
    </xf>
    <xf numFmtId="4" fontId="8" fillId="39" borderId="49" xfId="52" applyNumberFormat="1" applyFont="1" applyFill="1" applyBorder="1" applyAlignment="1">
      <alignment horizontal="center" wrapText="1"/>
      <protection/>
    </xf>
    <xf numFmtId="0" fontId="8" fillId="0" borderId="0" xfId="52" applyFont="1" applyAlignment="1">
      <alignment horizontal="right" wrapText="1"/>
      <protection/>
    </xf>
    <xf numFmtId="0" fontId="19" fillId="0" borderId="0" xfId="52" applyFont="1" applyBorder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20" fillId="0" borderId="22" xfId="52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6" xfId="52" applyFont="1" applyBorder="1" applyAlignment="1">
      <alignment wrapText="1"/>
      <protection/>
    </xf>
    <xf numFmtId="0" fontId="8" fillId="0" borderId="27" xfId="52" applyFont="1" applyBorder="1" applyAlignment="1">
      <alignment wrapText="1"/>
      <protection/>
    </xf>
    <xf numFmtId="0" fontId="20" fillId="0" borderId="50" xfId="52" applyFont="1" applyBorder="1" applyAlignment="1">
      <alignment horizontal="center" wrapText="1"/>
      <protection/>
    </xf>
    <xf numFmtId="0" fontId="20" fillId="0" borderId="51" xfId="52" applyFont="1" applyBorder="1" applyAlignment="1">
      <alignment horizontal="center" wrapText="1"/>
      <protection/>
    </xf>
    <xf numFmtId="0" fontId="16" fillId="0" borderId="0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4" fontId="8" fillId="39" borderId="52" xfId="52" applyNumberFormat="1" applyFont="1" applyFill="1" applyBorder="1" applyAlignment="1">
      <alignment horizontal="center" wrapText="1"/>
      <protection/>
    </xf>
    <xf numFmtId="4" fontId="8" fillId="39" borderId="53" xfId="52" applyNumberFormat="1" applyFont="1" applyFill="1" applyBorder="1" applyAlignment="1">
      <alignment horizontal="center" wrapText="1"/>
      <protection/>
    </xf>
    <xf numFmtId="0" fontId="8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31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8" fillId="0" borderId="54" xfId="52" applyFont="1" applyBorder="1" applyAlignment="1">
      <alignment horizontal="center"/>
      <protection/>
    </xf>
    <xf numFmtId="0" fontId="8" fillId="0" borderId="41" xfId="52" applyFont="1" applyBorder="1" applyAlignment="1">
      <alignment horizontal="center"/>
      <protection/>
    </xf>
    <xf numFmtId="0" fontId="8" fillId="0" borderId="49" xfId="52" applyFont="1" applyBorder="1" applyAlignment="1">
      <alignment horizontal="center"/>
      <protection/>
    </xf>
    <xf numFmtId="0" fontId="15" fillId="0" borderId="0" xfId="52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 wrapText="1"/>
      <protection/>
    </xf>
    <xf numFmtId="0" fontId="19" fillId="0" borderId="41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19" fillId="0" borderId="18" xfId="52" applyFont="1" applyBorder="1" applyAlignment="1">
      <alignment horizontal="center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0" fontId="16" fillId="0" borderId="20" xfId="52" applyFont="1" applyBorder="1" applyAlignment="1">
      <alignment horizontal="center"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8" fillId="0" borderId="23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horizontal="center" vertical="top" wrapText="1"/>
      <protection/>
    </xf>
    <xf numFmtId="0" fontId="16" fillId="0" borderId="37" xfId="52" applyFont="1" applyBorder="1" applyAlignment="1">
      <alignment horizontal="center" vertical="top" wrapText="1"/>
      <protection/>
    </xf>
    <xf numFmtId="0" fontId="17" fillId="0" borderId="37" xfId="52" applyFont="1" applyBorder="1" applyAlignment="1">
      <alignment horizontal="center" vertical="top" wrapText="1"/>
      <protection/>
    </xf>
    <xf numFmtId="0" fontId="19" fillId="0" borderId="19" xfId="52" applyFont="1" applyBorder="1" applyAlignment="1">
      <alignment horizontal="center" wrapText="1"/>
      <protection/>
    </xf>
    <xf numFmtId="0" fontId="19" fillId="0" borderId="48" xfId="52" applyFont="1" applyBorder="1" applyAlignment="1">
      <alignment horizontal="center" wrapText="1"/>
      <protection/>
    </xf>
    <xf numFmtId="0" fontId="27" fillId="0" borderId="17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19" fillId="0" borderId="18" xfId="52" applyFont="1" applyBorder="1" applyAlignment="1">
      <alignment horizontal="center" vertical="top" wrapText="1"/>
      <protection/>
    </xf>
    <xf numFmtId="0" fontId="27" fillId="0" borderId="55" xfId="52" applyFont="1" applyBorder="1" applyAlignment="1">
      <alignment horizontal="center" vertical="top" wrapText="1"/>
      <protection/>
    </xf>
    <xf numFmtId="0" fontId="27" fillId="0" borderId="56" xfId="52" applyFont="1" applyBorder="1" applyAlignment="1">
      <alignment horizontal="center" vertical="top" wrapText="1"/>
      <protection/>
    </xf>
    <xf numFmtId="0" fontId="27" fillId="0" borderId="57" xfId="52" applyFont="1" applyBorder="1" applyAlignment="1">
      <alignment horizontal="center" vertical="top" wrapText="1"/>
      <protection/>
    </xf>
    <xf numFmtId="0" fontId="16" fillId="0" borderId="0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16" fontId="19" fillId="0" borderId="0" xfId="52" applyNumberFormat="1" applyFont="1" applyBorder="1" applyAlignment="1">
      <alignment horizontal="center" vertical="top" wrapText="1"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6" fillId="0" borderId="17" xfId="52" applyFont="1" applyBorder="1" applyAlignment="1">
      <alignment horizontal="center" vertical="top" wrapText="1"/>
      <protection/>
    </xf>
    <xf numFmtId="0" fontId="17" fillId="0" borderId="18" xfId="52" applyFont="1" applyBorder="1" applyAlignment="1">
      <alignment horizontal="center" vertical="top" wrapText="1"/>
      <protection/>
    </xf>
    <xf numFmtId="0" fontId="29" fillId="0" borderId="0" xfId="52" applyFont="1" applyAlignment="1">
      <alignment horizontal="center"/>
      <protection/>
    </xf>
    <xf numFmtId="169" fontId="8" fillId="0" borderId="46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47" borderId="46" xfId="0" applyFont="1" applyFill="1" applyBorder="1" applyAlignment="1">
      <alignment horizontal="left" vertical="top" wrapText="1"/>
    </xf>
    <xf numFmtId="0" fontId="8" fillId="47" borderId="12" xfId="0" applyFont="1" applyFill="1" applyBorder="1" applyAlignment="1">
      <alignment horizontal="left" vertical="top" wrapText="1"/>
    </xf>
    <xf numFmtId="169" fontId="8" fillId="47" borderId="46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169" fontId="8" fillId="47" borderId="46" xfId="0" applyNumberFormat="1" applyFont="1" applyFill="1" applyBorder="1" applyAlignment="1">
      <alignment horizontal="right"/>
    </xf>
    <xf numFmtId="169" fontId="8" fillId="47" borderId="12" xfId="0" applyNumberFormat="1" applyFont="1" applyFill="1" applyBorder="1" applyAlignment="1">
      <alignment horizontal="right"/>
    </xf>
    <xf numFmtId="0" fontId="8" fillId="46" borderId="46" xfId="0" applyFont="1" applyFill="1" applyBorder="1" applyAlignment="1">
      <alignment horizontal="left" vertical="top" wrapText="1"/>
    </xf>
    <xf numFmtId="0" fontId="8" fillId="46" borderId="12" xfId="0" applyFont="1" applyFill="1" applyBorder="1" applyAlignment="1">
      <alignment horizontal="left" vertical="top" wrapText="1"/>
    </xf>
    <xf numFmtId="169" fontId="13" fillId="46" borderId="46" xfId="0" applyNumberFormat="1" applyFont="1" applyFill="1" applyBorder="1" applyAlignment="1">
      <alignment horizontal="right"/>
    </xf>
    <xf numFmtId="0" fontId="13" fillId="46" borderId="12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9" fontId="8" fillId="0" borderId="46" xfId="0" applyNumberFormat="1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7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7"/>
  <sheetViews>
    <sheetView tabSelected="1" view="pageBreakPreview" zoomScaleSheetLayoutView="100" zoomScalePageLayoutView="0" workbookViewId="0" topLeftCell="A1">
      <selection activeCell="A12" sqref="A12:R12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5.2812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345" customWidth="1"/>
    <col min="11" max="11" width="8.421875" style="345" customWidth="1"/>
    <col min="12" max="12" width="6.7109375" style="345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4.421875" style="1" customWidth="1"/>
    <col min="19" max="19" width="3.7109375" style="1" customWidth="1"/>
    <col min="20" max="20" width="12.7109375" style="1" customWidth="1"/>
    <col min="21" max="21" width="9.140625" style="1" customWidth="1"/>
    <col min="22" max="22" width="13.00390625" style="1" customWidth="1"/>
    <col min="23" max="23" width="10.421875" style="1" bestFit="1" customWidth="1"/>
    <col min="24" max="24" width="12.140625" style="1" customWidth="1"/>
    <col min="25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3.5" hidden="1"/>
    <row r="12" spans="1:18" ht="15" customHeight="1">
      <c r="A12" s="437" t="s">
        <v>10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</row>
    <row r="13" spans="1:18" ht="13.5">
      <c r="A13" s="438" t="s">
        <v>11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</row>
    <row r="14" spans="1:18" ht="13.5">
      <c r="A14" s="439" t="s">
        <v>440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</row>
    <row r="17" spans="2:23" ht="13.5">
      <c r="B17" s="69" t="s">
        <v>441</v>
      </c>
      <c r="I17" s="3"/>
      <c r="J17" s="346"/>
      <c r="K17" s="346"/>
      <c r="L17" s="346"/>
      <c r="M17" s="3"/>
      <c r="N17" s="3"/>
      <c r="O17" s="3"/>
      <c r="S17" s="24"/>
      <c r="T17" s="24"/>
      <c r="U17" s="24"/>
      <c r="V17" s="24"/>
      <c r="W17" s="24"/>
    </row>
    <row r="18" ht="13.5">
      <c r="G18" s="408" t="s">
        <v>442</v>
      </c>
    </row>
    <row r="19" ht="13.5">
      <c r="B19" s="1" t="s">
        <v>12</v>
      </c>
    </row>
    <row r="21" spans="1:18" ht="93" customHeight="1">
      <c r="A21" s="23" t="s">
        <v>13</v>
      </c>
      <c r="B21" s="23" t="s">
        <v>14</v>
      </c>
      <c r="C21" s="23" t="s">
        <v>15</v>
      </c>
      <c r="D21" s="440" t="s">
        <v>16</v>
      </c>
      <c r="E21" s="441"/>
      <c r="F21" s="440" t="s">
        <v>17</v>
      </c>
      <c r="G21" s="441"/>
      <c r="H21" s="440" t="s">
        <v>22</v>
      </c>
      <c r="I21" s="441"/>
      <c r="J21" s="442" t="s">
        <v>23</v>
      </c>
      <c r="K21" s="443"/>
      <c r="L21" s="440" t="s">
        <v>21</v>
      </c>
      <c r="M21" s="441"/>
      <c r="N21" s="440" t="s">
        <v>20</v>
      </c>
      <c r="O21" s="441"/>
      <c r="P21" s="23" t="s">
        <v>19</v>
      </c>
      <c r="Q21" s="440" t="s">
        <v>18</v>
      </c>
      <c r="R21" s="441"/>
    </row>
    <row r="22" spans="1:18" s="29" customFormat="1" ht="222" customHeight="1">
      <c r="A22" s="445">
        <v>1</v>
      </c>
      <c r="B22" s="445" t="s">
        <v>95</v>
      </c>
      <c r="C22" s="446" t="s">
        <v>126</v>
      </c>
      <c r="D22" s="445" t="s">
        <v>102</v>
      </c>
      <c r="E22" s="445"/>
      <c r="F22" s="464" t="s">
        <v>127</v>
      </c>
      <c r="G22" s="465"/>
      <c r="H22" s="464" t="s">
        <v>103</v>
      </c>
      <c r="I22" s="465"/>
      <c r="J22" s="444" t="s">
        <v>128</v>
      </c>
      <c r="K22" s="444"/>
      <c r="L22" s="445" t="s">
        <v>96</v>
      </c>
      <c r="M22" s="445"/>
      <c r="N22" s="445" t="s">
        <v>104</v>
      </c>
      <c r="O22" s="445"/>
      <c r="P22" s="449" t="s">
        <v>129</v>
      </c>
      <c r="Q22" s="450" t="s">
        <v>130</v>
      </c>
      <c r="R22" s="451"/>
    </row>
    <row r="23" spans="1:18" s="29" customFormat="1" ht="60.75" customHeight="1">
      <c r="A23" s="445"/>
      <c r="B23" s="445"/>
      <c r="C23" s="447"/>
      <c r="D23" s="445"/>
      <c r="E23" s="445"/>
      <c r="F23" s="466"/>
      <c r="G23" s="467"/>
      <c r="H23" s="466"/>
      <c r="I23" s="467"/>
      <c r="J23" s="444"/>
      <c r="K23" s="444"/>
      <c r="L23" s="445"/>
      <c r="M23" s="445"/>
      <c r="N23" s="445"/>
      <c r="O23" s="445"/>
      <c r="P23" s="449"/>
      <c r="Q23" s="452"/>
      <c r="R23" s="453"/>
    </row>
    <row r="24" spans="1:18" s="29" customFormat="1" ht="60.75" customHeight="1">
      <c r="A24" s="445"/>
      <c r="B24" s="445"/>
      <c r="C24" s="447"/>
      <c r="D24" s="445"/>
      <c r="E24" s="445"/>
      <c r="F24" s="466"/>
      <c r="G24" s="467"/>
      <c r="H24" s="466"/>
      <c r="I24" s="467"/>
      <c r="J24" s="444"/>
      <c r="K24" s="444"/>
      <c r="L24" s="445"/>
      <c r="M24" s="445"/>
      <c r="N24" s="445"/>
      <c r="O24" s="445"/>
      <c r="P24" s="449"/>
      <c r="Q24" s="452"/>
      <c r="R24" s="453"/>
    </row>
    <row r="25" spans="1:18" s="29" customFormat="1" ht="60.75" customHeight="1">
      <c r="A25" s="445"/>
      <c r="B25" s="445"/>
      <c r="C25" s="447"/>
      <c r="D25" s="445"/>
      <c r="E25" s="445"/>
      <c r="F25" s="466"/>
      <c r="G25" s="467"/>
      <c r="H25" s="466"/>
      <c r="I25" s="467"/>
      <c r="J25" s="444"/>
      <c r="K25" s="444"/>
      <c r="L25" s="445"/>
      <c r="M25" s="445"/>
      <c r="N25" s="445"/>
      <c r="O25" s="445"/>
      <c r="P25" s="449"/>
      <c r="Q25" s="452"/>
      <c r="R25" s="453"/>
    </row>
    <row r="26" spans="1:18" s="29" customFormat="1" ht="60.75" customHeight="1">
      <c r="A26" s="445"/>
      <c r="B26" s="445"/>
      <c r="C26" s="447"/>
      <c r="D26" s="445"/>
      <c r="E26" s="445"/>
      <c r="F26" s="466"/>
      <c r="G26" s="467"/>
      <c r="H26" s="466"/>
      <c r="I26" s="467"/>
      <c r="J26" s="444"/>
      <c r="K26" s="444"/>
      <c r="L26" s="445"/>
      <c r="M26" s="445"/>
      <c r="N26" s="445"/>
      <c r="O26" s="445"/>
      <c r="P26" s="449"/>
      <c r="Q26" s="452"/>
      <c r="R26" s="453"/>
    </row>
    <row r="27" spans="1:18" s="29" customFormat="1" ht="60.75" customHeight="1">
      <c r="A27" s="445"/>
      <c r="B27" s="445"/>
      <c r="C27" s="447"/>
      <c r="D27" s="445"/>
      <c r="E27" s="445"/>
      <c r="F27" s="466"/>
      <c r="G27" s="467"/>
      <c r="H27" s="466"/>
      <c r="I27" s="467"/>
      <c r="J27" s="444"/>
      <c r="K27" s="444"/>
      <c r="L27" s="445"/>
      <c r="M27" s="445"/>
      <c r="N27" s="445"/>
      <c r="O27" s="445"/>
      <c r="P27" s="449"/>
      <c r="Q27" s="452"/>
      <c r="R27" s="453"/>
    </row>
    <row r="28" spans="1:18" s="29" customFormat="1" ht="60.75" customHeight="1">
      <c r="A28" s="445"/>
      <c r="B28" s="445"/>
      <c r="C28" s="447"/>
      <c r="D28" s="445"/>
      <c r="E28" s="445"/>
      <c r="F28" s="466"/>
      <c r="G28" s="467"/>
      <c r="H28" s="466"/>
      <c r="I28" s="467"/>
      <c r="J28" s="444"/>
      <c r="K28" s="444"/>
      <c r="L28" s="445"/>
      <c r="M28" s="445"/>
      <c r="N28" s="445"/>
      <c r="O28" s="445"/>
      <c r="P28" s="449"/>
      <c r="Q28" s="452"/>
      <c r="R28" s="453"/>
    </row>
    <row r="29" spans="1:18" s="29" customFormat="1" ht="27" customHeight="1">
      <c r="A29" s="445"/>
      <c r="B29" s="445"/>
      <c r="C29" s="447"/>
      <c r="D29" s="445"/>
      <c r="E29" s="445"/>
      <c r="F29" s="466"/>
      <c r="G29" s="467"/>
      <c r="H29" s="466"/>
      <c r="I29" s="467"/>
      <c r="J29" s="444"/>
      <c r="K29" s="444"/>
      <c r="L29" s="445"/>
      <c r="M29" s="445"/>
      <c r="N29" s="445"/>
      <c r="O29" s="445"/>
      <c r="P29" s="449"/>
      <c r="Q29" s="452"/>
      <c r="R29" s="453"/>
    </row>
    <row r="30" spans="1:18" s="29" customFormat="1" ht="35.25" customHeight="1" hidden="1">
      <c r="A30" s="445"/>
      <c r="B30" s="445"/>
      <c r="C30" s="447"/>
      <c r="D30" s="445"/>
      <c r="E30" s="445"/>
      <c r="F30" s="466"/>
      <c r="G30" s="467"/>
      <c r="H30" s="466"/>
      <c r="I30" s="467"/>
      <c r="J30" s="444"/>
      <c r="K30" s="444"/>
      <c r="L30" s="445"/>
      <c r="M30" s="445"/>
      <c r="N30" s="445"/>
      <c r="O30" s="445"/>
      <c r="P30" s="449"/>
      <c r="Q30" s="452"/>
      <c r="R30" s="453"/>
    </row>
    <row r="31" spans="1:18" s="29" customFormat="1" ht="60.75" customHeight="1" hidden="1">
      <c r="A31" s="445"/>
      <c r="B31" s="445"/>
      <c r="C31" s="447"/>
      <c r="D31" s="445"/>
      <c r="E31" s="445"/>
      <c r="F31" s="466"/>
      <c r="G31" s="467"/>
      <c r="H31" s="466"/>
      <c r="I31" s="467"/>
      <c r="J31" s="444"/>
      <c r="K31" s="444"/>
      <c r="L31" s="445"/>
      <c r="M31" s="445"/>
      <c r="N31" s="445"/>
      <c r="O31" s="445"/>
      <c r="P31" s="449"/>
      <c r="Q31" s="452"/>
      <c r="R31" s="453"/>
    </row>
    <row r="32" spans="1:18" s="29" customFormat="1" ht="30.75" customHeight="1" hidden="1">
      <c r="A32" s="445"/>
      <c r="B32" s="445"/>
      <c r="C32" s="448"/>
      <c r="D32" s="445"/>
      <c r="E32" s="445"/>
      <c r="F32" s="468"/>
      <c r="G32" s="469"/>
      <c r="H32" s="468"/>
      <c r="I32" s="469"/>
      <c r="J32" s="444"/>
      <c r="K32" s="444"/>
      <c r="L32" s="445"/>
      <c r="M32" s="445"/>
      <c r="N32" s="445"/>
      <c r="O32" s="445"/>
      <c r="P32" s="449"/>
      <c r="Q32" s="454"/>
      <c r="R32" s="455"/>
    </row>
    <row r="35" ht="13.5">
      <c r="B35" s="1" t="s">
        <v>24</v>
      </c>
    </row>
    <row r="37" spans="1:18" ht="15" customHeight="1">
      <c r="A37" s="440" t="s">
        <v>14</v>
      </c>
      <c r="B37" s="441"/>
      <c r="C37" s="458" t="s">
        <v>29</v>
      </c>
      <c r="D37" s="460" t="s">
        <v>25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</row>
    <row r="38" spans="1:18" ht="28.5" customHeight="1">
      <c r="A38" s="456"/>
      <c r="B38" s="457"/>
      <c r="C38" s="459"/>
      <c r="D38" s="460" t="s">
        <v>26</v>
      </c>
      <c r="E38" s="460"/>
      <c r="F38" s="460"/>
      <c r="G38" s="460"/>
      <c r="H38" s="460"/>
      <c r="I38" s="460"/>
      <c r="J38" s="461" t="s">
        <v>27</v>
      </c>
      <c r="K38" s="462"/>
      <c r="L38" s="462"/>
      <c r="M38" s="462"/>
      <c r="N38" s="462"/>
      <c r="O38" s="463"/>
      <c r="P38" s="460" t="s">
        <v>28</v>
      </c>
      <c r="Q38" s="460"/>
      <c r="R38" s="460"/>
    </row>
    <row r="39" spans="1:19" ht="83.25" customHeight="1">
      <c r="A39" s="456"/>
      <c r="B39" s="457"/>
      <c r="C39" s="459"/>
      <c r="D39" s="458" t="s">
        <v>30</v>
      </c>
      <c r="E39" s="458"/>
      <c r="F39" s="458" t="s">
        <v>31</v>
      </c>
      <c r="G39" s="458"/>
      <c r="H39" s="458" t="s">
        <v>32</v>
      </c>
      <c r="I39" s="458"/>
      <c r="J39" s="470" t="s">
        <v>30</v>
      </c>
      <c r="K39" s="470"/>
      <c r="L39" s="458" t="s">
        <v>31</v>
      </c>
      <c r="M39" s="458"/>
      <c r="N39" s="440" t="s">
        <v>32</v>
      </c>
      <c r="O39" s="441"/>
      <c r="P39" s="31" t="s">
        <v>30</v>
      </c>
      <c r="Q39" s="31" t="s">
        <v>31</v>
      </c>
      <c r="R39" s="31" t="s">
        <v>32</v>
      </c>
      <c r="S39" s="8"/>
    </row>
    <row r="40" spans="1:18" s="30" customFormat="1" ht="199.5" customHeight="1">
      <c r="A40" s="485" t="s">
        <v>95</v>
      </c>
      <c r="B40" s="485"/>
      <c r="C40" s="449" t="s">
        <v>118</v>
      </c>
      <c r="D40" s="477" t="s">
        <v>98</v>
      </c>
      <c r="E40" s="478"/>
      <c r="F40" s="477" t="s">
        <v>99</v>
      </c>
      <c r="G40" s="478"/>
      <c r="H40" s="471"/>
      <c r="I40" s="472"/>
      <c r="J40" s="476"/>
      <c r="K40" s="476"/>
      <c r="L40" s="471"/>
      <c r="M40" s="472"/>
      <c r="N40" s="473"/>
      <c r="O40" s="473"/>
      <c r="P40" s="46" t="s">
        <v>100</v>
      </c>
      <c r="Q40" s="47" t="s">
        <v>101</v>
      </c>
      <c r="R40" s="32"/>
    </row>
    <row r="41" spans="1:18" s="30" customFormat="1" ht="9">
      <c r="A41" s="485"/>
      <c r="B41" s="485"/>
      <c r="C41" s="449"/>
      <c r="D41" s="474"/>
      <c r="E41" s="475"/>
      <c r="F41" s="474"/>
      <c r="G41" s="475"/>
      <c r="H41" s="48"/>
      <c r="I41" s="49"/>
      <c r="J41" s="347"/>
      <c r="K41" s="347"/>
      <c r="L41" s="348"/>
      <c r="M41" s="49"/>
      <c r="N41" s="50"/>
      <c r="O41" s="50"/>
      <c r="P41" s="51"/>
      <c r="Q41" s="52"/>
      <c r="R41" s="53"/>
    </row>
    <row r="42" spans="1:18" s="30" customFormat="1" ht="9">
      <c r="A42" s="485"/>
      <c r="B42" s="485"/>
      <c r="C42" s="449"/>
      <c r="D42" s="474"/>
      <c r="E42" s="475"/>
      <c r="F42" s="474"/>
      <c r="G42" s="475"/>
      <c r="H42" s="48"/>
      <c r="I42" s="49"/>
      <c r="J42" s="347"/>
      <c r="K42" s="347"/>
      <c r="L42" s="348"/>
      <c r="M42" s="49"/>
      <c r="N42" s="50"/>
      <c r="O42" s="50"/>
      <c r="P42" s="51"/>
      <c r="Q42" s="52"/>
      <c r="R42" s="53"/>
    </row>
    <row r="43" spans="1:18" s="30" customFormat="1" ht="9">
      <c r="A43" s="485"/>
      <c r="B43" s="485"/>
      <c r="C43" s="449"/>
      <c r="D43" s="474"/>
      <c r="E43" s="475"/>
      <c r="F43" s="474"/>
      <c r="G43" s="475"/>
      <c r="H43" s="48"/>
      <c r="I43" s="49"/>
      <c r="J43" s="347"/>
      <c r="K43" s="347"/>
      <c r="L43" s="348"/>
      <c r="M43" s="49"/>
      <c r="N43" s="50"/>
      <c r="O43" s="50"/>
      <c r="P43" s="51"/>
      <c r="Q43" s="52"/>
      <c r="R43" s="53"/>
    </row>
    <row r="44" spans="1:18" s="30" customFormat="1" ht="9">
      <c r="A44" s="485"/>
      <c r="B44" s="485"/>
      <c r="C44" s="449"/>
      <c r="D44" s="474"/>
      <c r="E44" s="475"/>
      <c r="F44" s="474"/>
      <c r="G44" s="475"/>
      <c r="H44" s="48"/>
      <c r="I44" s="49"/>
      <c r="J44" s="347"/>
      <c r="K44" s="347"/>
      <c r="L44" s="348"/>
      <c r="M44" s="49"/>
      <c r="N44" s="50"/>
      <c r="O44" s="50"/>
      <c r="P44" s="51"/>
      <c r="Q44" s="52"/>
      <c r="R44" s="53"/>
    </row>
    <row r="45" spans="1:18" s="30" customFormat="1" ht="9">
      <c r="A45" s="485"/>
      <c r="B45" s="485"/>
      <c r="C45" s="449"/>
      <c r="D45" s="474"/>
      <c r="E45" s="475"/>
      <c r="F45" s="474"/>
      <c r="G45" s="475"/>
      <c r="H45" s="48"/>
      <c r="I45" s="49"/>
      <c r="J45" s="347"/>
      <c r="K45" s="347"/>
      <c r="L45" s="348"/>
      <c r="M45" s="49"/>
      <c r="N45" s="50"/>
      <c r="O45" s="50"/>
      <c r="P45" s="51"/>
      <c r="Q45" s="52"/>
      <c r="R45" s="53"/>
    </row>
    <row r="46" spans="1:18" s="30" customFormat="1" ht="9">
      <c r="A46" s="485"/>
      <c r="B46" s="485"/>
      <c r="C46" s="449"/>
      <c r="D46" s="474"/>
      <c r="E46" s="475"/>
      <c r="F46" s="474"/>
      <c r="G46" s="475"/>
      <c r="H46" s="48"/>
      <c r="I46" s="49"/>
      <c r="J46" s="347"/>
      <c r="K46" s="347"/>
      <c r="L46" s="348"/>
      <c r="M46" s="49"/>
      <c r="N46" s="50"/>
      <c r="O46" s="50"/>
      <c r="P46" s="51"/>
      <c r="Q46" s="52"/>
      <c r="R46" s="53"/>
    </row>
    <row r="47" spans="1:18" s="30" customFormat="1" ht="9">
      <c r="A47" s="485"/>
      <c r="B47" s="485"/>
      <c r="C47" s="449"/>
      <c r="D47" s="474"/>
      <c r="E47" s="475"/>
      <c r="F47" s="474"/>
      <c r="G47" s="475"/>
      <c r="H47" s="48"/>
      <c r="I47" s="49"/>
      <c r="J47" s="347"/>
      <c r="K47" s="347"/>
      <c r="L47" s="348"/>
      <c r="M47" s="49"/>
      <c r="N47" s="50"/>
      <c r="O47" s="50"/>
      <c r="P47" s="51"/>
      <c r="Q47" s="52"/>
      <c r="R47" s="53"/>
    </row>
    <row r="48" spans="1:18" s="30" customFormat="1" ht="9">
      <c r="A48" s="485"/>
      <c r="B48" s="485"/>
      <c r="C48" s="449"/>
      <c r="D48" s="474"/>
      <c r="E48" s="475"/>
      <c r="F48" s="474"/>
      <c r="G48" s="475"/>
      <c r="H48" s="48"/>
      <c r="I48" s="49"/>
      <c r="J48" s="347"/>
      <c r="K48" s="347"/>
      <c r="L48" s="348"/>
      <c r="M48" s="49"/>
      <c r="N48" s="50"/>
      <c r="O48" s="50"/>
      <c r="P48" s="51"/>
      <c r="Q48" s="52"/>
      <c r="R48" s="53"/>
    </row>
    <row r="49" spans="1:18" s="30" customFormat="1" ht="9">
      <c r="A49" s="485"/>
      <c r="B49" s="485"/>
      <c r="C49" s="449"/>
      <c r="D49" s="474"/>
      <c r="E49" s="475"/>
      <c r="F49" s="474"/>
      <c r="G49" s="475"/>
      <c r="H49" s="48"/>
      <c r="I49" s="49"/>
      <c r="J49" s="347"/>
      <c r="K49" s="347"/>
      <c r="L49" s="348"/>
      <c r="M49" s="49"/>
      <c r="N49" s="50"/>
      <c r="O49" s="50"/>
      <c r="P49" s="51"/>
      <c r="Q49" s="52"/>
      <c r="R49" s="53"/>
    </row>
    <row r="50" spans="1:18" s="30" customFormat="1" ht="9">
      <c r="A50" s="485"/>
      <c r="B50" s="485"/>
      <c r="C50" s="449"/>
      <c r="D50" s="474"/>
      <c r="E50" s="475"/>
      <c r="F50" s="474"/>
      <c r="G50" s="475"/>
      <c r="H50" s="48"/>
      <c r="I50" s="49"/>
      <c r="J50" s="347"/>
      <c r="K50" s="347"/>
      <c r="L50" s="348"/>
      <c r="M50" s="49"/>
      <c r="N50" s="50"/>
      <c r="O50" s="50"/>
      <c r="P50" s="51"/>
      <c r="Q50" s="52"/>
      <c r="R50" s="53"/>
    </row>
    <row r="51" spans="1:18" s="30" customFormat="1" ht="9">
      <c r="A51" s="485"/>
      <c r="B51" s="485"/>
      <c r="C51" s="449"/>
      <c r="D51" s="474"/>
      <c r="E51" s="475"/>
      <c r="F51" s="474"/>
      <c r="G51" s="475"/>
      <c r="H51" s="48"/>
      <c r="I51" s="49"/>
      <c r="J51" s="347"/>
      <c r="K51" s="347"/>
      <c r="L51" s="348"/>
      <c r="M51" s="49"/>
      <c r="N51" s="50"/>
      <c r="O51" s="50"/>
      <c r="P51" s="51"/>
      <c r="Q51" s="52"/>
      <c r="R51" s="53"/>
    </row>
    <row r="52" spans="1:18" s="30" customFormat="1" ht="9.75" customHeight="1">
      <c r="A52" s="485"/>
      <c r="B52" s="485"/>
      <c r="C52" s="449"/>
      <c r="D52" s="474"/>
      <c r="E52" s="475"/>
      <c r="F52" s="474"/>
      <c r="G52" s="475"/>
      <c r="H52" s="48"/>
      <c r="I52" s="49"/>
      <c r="J52" s="347"/>
      <c r="K52" s="347"/>
      <c r="L52" s="348"/>
      <c r="M52" s="49"/>
      <c r="N52" s="50"/>
      <c r="O52" s="50"/>
      <c r="P52" s="51"/>
      <c r="Q52" s="52"/>
      <c r="R52" s="53"/>
    </row>
    <row r="53" spans="1:18" s="30" customFormat="1" ht="9" hidden="1">
      <c r="A53" s="485"/>
      <c r="B53" s="485"/>
      <c r="C53" s="449"/>
      <c r="D53" s="474"/>
      <c r="E53" s="475"/>
      <c r="F53" s="474"/>
      <c r="G53" s="475"/>
      <c r="H53" s="48"/>
      <c r="I53" s="49"/>
      <c r="J53" s="347"/>
      <c r="K53" s="347"/>
      <c r="L53" s="348"/>
      <c r="M53" s="49"/>
      <c r="N53" s="50"/>
      <c r="O53" s="50"/>
      <c r="P53" s="51"/>
      <c r="Q53" s="52"/>
      <c r="R53" s="53"/>
    </row>
    <row r="54" spans="1:18" s="30" customFormat="1" ht="9" hidden="1">
      <c r="A54" s="485"/>
      <c r="B54" s="485"/>
      <c r="C54" s="449"/>
      <c r="D54" s="474"/>
      <c r="E54" s="475"/>
      <c r="F54" s="474"/>
      <c r="G54" s="475"/>
      <c r="H54" s="48"/>
      <c r="I54" s="49"/>
      <c r="J54" s="347"/>
      <c r="K54" s="347"/>
      <c r="L54" s="348"/>
      <c r="M54" s="49"/>
      <c r="N54" s="50"/>
      <c r="O54" s="50"/>
      <c r="P54" s="51"/>
      <c r="Q54" s="52"/>
      <c r="R54" s="53"/>
    </row>
    <row r="55" spans="1:18" s="30" customFormat="1" ht="34.5" customHeight="1" hidden="1">
      <c r="A55" s="485"/>
      <c r="B55" s="485"/>
      <c r="C55" s="449"/>
      <c r="D55" s="474"/>
      <c r="E55" s="475"/>
      <c r="F55" s="474"/>
      <c r="G55" s="475"/>
      <c r="H55" s="48"/>
      <c r="I55" s="50"/>
      <c r="J55" s="348"/>
      <c r="K55" s="349"/>
      <c r="L55" s="347"/>
      <c r="M55" s="49"/>
      <c r="N55" s="50"/>
      <c r="O55" s="49"/>
      <c r="P55" s="54"/>
      <c r="Q55" s="52"/>
      <c r="R55" s="53"/>
    </row>
    <row r="56" spans="1:18" s="30" customFormat="1" ht="8.25" customHeight="1" hidden="1">
      <c r="A56" s="485"/>
      <c r="B56" s="485"/>
      <c r="C56" s="449"/>
      <c r="D56" s="474"/>
      <c r="E56" s="475"/>
      <c r="F56" s="474"/>
      <c r="G56" s="475"/>
      <c r="H56" s="48"/>
      <c r="I56" s="50"/>
      <c r="J56" s="348"/>
      <c r="K56" s="349"/>
      <c r="L56" s="347"/>
      <c r="M56" s="50"/>
      <c r="N56" s="48"/>
      <c r="O56" s="49"/>
      <c r="P56" s="52"/>
      <c r="Q56" s="51"/>
      <c r="R56" s="59"/>
    </row>
    <row r="57" spans="1:18" s="30" customFormat="1" ht="34.5" customHeight="1" hidden="1">
      <c r="A57" s="485"/>
      <c r="B57" s="485"/>
      <c r="C57" s="449"/>
      <c r="D57" s="474"/>
      <c r="E57" s="475"/>
      <c r="F57" s="474"/>
      <c r="G57" s="475"/>
      <c r="H57" s="48"/>
      <c r="I57" s="50"/>
      <c r="J57" s="348"/>
      <c r="K57" s="349"/>
      <c r="L57" s="347"/>
      <c r="M57" s="50"/>
      <c r="N57" s="48"/>
      <c r="O57" s="49"/>
      <c r="P57" s="52"/>
      <c r="Q57" s="51"/>
      <c r="R57" s="59"/>
    </row>
    <row r="58" spans="1:18" s="30" customFormat="1" ht="46.5" customHeight="1" hidden="1">
      <c r="A58" s="485"/>
      <c r="B58" s="485"/>
      <c r="C58" s="449"/>
      <c r="D58" s="474"/>
      <c r="E58" s="475"/>
      <c r="F58" s="474"/>
      <c r="G58" s="475"/>
      <c r="H58" s="48"/>
      <c r="I58" s="50"/>
      <c r="J58" s="348"/>
      <c r="K58" s="349"/>
      <c r="L58" s="347"/>
      <c r="M58" s="50"/>
      <c r="N58" s="48"/>
      <c r="O58" s="49"/>
      <c r="P58" s="52"/>
      <c r="Q58" s="51"/>
      <c r="R58" s="59"/>
    </row>
    <row r="59" spans="1:18" s="30" customFormat="1" ht="46.5" customHeight="1" hidden="1">
      <c r="A59" s="485"/>
      <c r="B59" s="485"/>
      <c r="C59" s="449"/>
      <c r="D59" s="474"/>
      <c r="E59" s="475"/>
      <c r="F59" s="474"/>
      <c r="G59" s="475"/>
      <c r="H59" s="48"/>
      <c r="I59" s="50"/>
      <c r="J59" s="348"/>
      <c r="K59" s="349"/>
      <c r="L59" s="347"/>
      <c r="M59" s="50"/>
      <c r="N59" s="48"/>
      <c r="O59" s="49"/>
      <c r="P59" s="52"/>
      <c r="Q59" s="51"/>
      <c r="R59" s="59"/>
    </row>
    <row r="60" spans="1:18" s="30" customFormat="1" ht="46.5" customHeight="1" hidden="1">
      <c r="A60" s="485"/>
      <c r="B60" s="485"/>
      <c r="C60" s="449"/>
      <c r="D60" s="474"/>
      <c r="E60" s="475"/>
      <c r="F60" s="474"/>
      <c r="G60" s="475"/>
      <c r="H60" s="48"/>
      <c r="I60" s="50"/>
      <c r="J60" s="348"/>
      <c r="K60" s="349"/>
      <c r="L60" s="347"/>
      <c r="M60" s="50"/>
      <c r="N60" s="48"/>
      <c r="O60" s="49"/>
      <c r="P60" s="52"/>
      <c r="Q60" s="51"/>
      <c r="R60" s="59"/>
    </row>
    <row r="61" spans="1:18" s="30" customFormat="1" ht="2.25" customHeight="1">
      <c r="A61" s="485"/>
      <c r="B61" s="485"/>
      <c r="C61" s="449"/>
      <c r="D61" s="55"/>
      <c r="E61" s="56"/>
      <c r="F61" s="57"/>
      <c r="G61" s="58"/>
      <c r="H61" s="60"/>
      <c r="I61" s="61"/>
      <c r="J61" s="350"/>
      <c r="K61" s="351"/>
      <c r="L61" s="352"/>
      <c r="M61" s="61"/>
      <c r="N61" s="61"/>
      <c r="O61" s="64"/>
      <c r="P61" s="62"/>
      <c r="Q61" s="62"/>
      <c r="R61" s="63"/>
    </row>
    <row r="62" spans="9:11" ht="13.5">
      <c r="I62" s="24"/>
      <c r="J62" s="353"/>
      <c r="K62" s="353"/>
    </row>
    <row r="63" ht="13.5">
      <c r="B63" s="1" t="s">
        <v>33</v>
      </c>
    </row>
    <row r="65" spans="1:17" ht="28.5" customHeight="1">
      <c r="A65" s="460" t="s">
        <v>35</v>
      </c>
      <c r="B65" s="460"/>
      <c r="C65" s="460"/>
      <c r="D65" s="461" t="s">
        <v>63</v>
      </c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3"/>
      <c r="P65" s="440" t="s">
        <v>34</v>
      </c>
      <c r="Q65" s="441"/>
    </row>
    <row r="66" spans="1:17" ht="13.5">
      <c r="A66" s="460"/>
      <c r="B66" s="460"/>
      <c r="C66" s="460"/>
      <c r="D66" s="10">
        <v>1</v>
      </c>
      <c r="E66" s="10">
        <v>2</v>
      </c>
      <c r="F66" s="10">
        <v>3</v>
      </c>
      <c r="G66" s="10">
        <v>4</v>
      </c>
      <c r="H66" s="10">
        <v>5</v>
      </c>
      <c r="I66" s="10">
        <v>6</v>
      </c>
      <c r="J66" s="354">
        <v>7</v>
      </c>
      <c r="K66" s="354">
        <v>8</v>
      </c>
      <c r="L66" s="354">
        <v>9</v>
      </c>
      <c r="M66" s="10">
        <v>10</v>
      </c>
      <c r="N66" s="10">
        <v>11</v>
      </c>
      <c r="O66" s="10">
        <v>12</v>
      </c>
      <c r="P66" s="479"/>
      <c r="Q66" s="480"/>
    </row>
    <row r="67" spans="1:17" ht="118.5" customHeight="1">
      <c r="A67" s="481" t="s">
        <v>105</v>
      </c>
      <c r="B67" s="481"/>
      <c r="C67" s="482"/>
      <c r="D67" s="9">
        <f>D68</f>
        <v>1275</v>
      </c>
      <c r="E67" s="9">
        <f aca="true" t="shared" si="0" ref="E67:O67">E68</f>
        <v>1275</v>
      </c>
      <c r="F67" s="9">
        <f t="shared" si="0"/>
        <v>1275</v>
      </c>
      <c r="G67" s="9">
        <f t="shared" si="0"/>
        <v>1275</v>
      </c>
      <c r="H67" s="9">
        <f t="shared" si="0"/>
        <v>1275</v>
      </c>
      <c r="I67" s="9">
        <f t="shared" si="0"/>
        <v>1275</v>
      </c>
      <c r="J67" s="355">
        <f t="shared" si="0"/>
        <v>1275</v>
      </c>
      <c r="K67" s="355">
        <f t="shared" si="0"/>
        <v>1275</v>
      </c>
      <c r="L67" s="355">
        <f t="shared" si="0"/>
        <v>1320</v>
      </c>
      <c r="M67" s="9">
        <f t="shared" si="0"/>
        <v>1320</v>
      </c>
      <c r="N67" s="9">
        <f t="shared" si="0"/>
        <v>1320</v>
      </c>
      <c r="O67" s="9">
        <f t="shared" si="0"/>
        <v>1320</v>
      </c>
      <c r="P67" s="483">
        <f>ROUND((D67*8+L67*4)/12,0)</f>
        <v>1290</v>
      </c>
      <c r="Q67" s="484"/>
    </row>
    <row r="68" spans="1:17" ht="50.25" customHeight="1">
      <c r="A68" s="486" t="s">
        <v>123</v>
      </c>
      <c r="B68" s="481"/>
      <c r="C68" s="482"/>
      <c r="D68" s="40">
        <v>1275</v>
      </c>
      <c r="E68" s="16">
        <f aca="true" t="shared" si="1" ref="E68:O70">D68</f>
        <v>1275</v>
      </c>
      <c r="F68" s="16">
        <f t="shared" si="1"/>
        <v>1275</v>
      </c>
      <c r="G68" s="16">
        <f t="shared" si="1"/>
        <v>1275</v>
      </c>
      <c r="H68" s="16">
        <f t="shared" si="1"/>
        <v>1275</v>
      </c>
      <c r="I68" s="16">
        <f t="shared" si="1"/>
        <v>1275</v>
      </c>
      <c r="J68" s="356">
        <f t="shared" si="1"/>
        <v>1275</v>
      </c>
      <c r="K68" s="356">
        <f t="shared" si="1"/>
        <v>1275</v>
      </c>
      <c r="L68" s="398">
        <v>1320</v>
      </c>
      <c r="M68" s="16">
        <f t="shared" si="1"/>
        <v>1320</v>
      </c>
      <c r="N68" s="16">
        <f t="shared" si="1"/>
        <v>1320</v>
      </c>
      <c r="O68" s="16">
        <f t="shared" si="1"/>
        <v>1320</v>
      </c>
      <c r="P68" s="483">
        <f>P67</f>
        <v>1290</v>
      </c>
      <c r="Q68" s="484"/>
    </row>
    <row r="69" spans="1:17" ht="34.5" customHeight="1">
      <c r="A69" s="486" t="s">
        <v>124</v>
      </c>
      <c r="B69" s="481"/>
      <c r="C69" s="482"/>
      <c r="D69" s="16">
        <f>D68</f>
        <v>1275</v>
      </c>
      <c r="E69" s="16">
        <f t="shared" si="1"/>
        <v>1275</v>
      </c>
      <c r="F69" s="16">
        <f t="shared" si="1"/>
        <v>1275</v>
      </c>
      <c r="G69" s="16">
        <f t="shared" si="1"/>
        <v>1275</v>
      </c>
      <c r="H69" s="16">
        <f t="shared" si="1"/>
        <v>1275</v>
      </c>
      <c r="I69" s="16">
        <f t="shared" si="1"/>
        <v>1275</v>
      </c>
      <c r="J69" s="356">
        <f t="shared" si="1"/>
        <v>1275</v>
      </c>
      <c r="K69" s="356">
        <f t="shared" si="1"/>
        <v>1275</v>
      </c>
      <c r="L69" s="356">
        <f>L68</f>
        <v>1320</v>
      </c>
      <c r="M69" s="16">
        <f t="shared" si="1"/>
        <v>1320</v>
      </c>
      <c r="N69" s="16">
        <f t="shared" si="1"/>
        <v>1320</v>
      </c>
      <c r="O69" s="16">
        <f t="shared" si="1"/>
        <v>1320</v>
      </c>
      <c r="P69" s="483">
        <f>P68</f>
        <v>1290</v>
      </c>
      <c r="Q69" s="484"/>
    </row>
    <row r="70" spans="1:17" ht="42" customHeight="1">
      <c r="A70" s="486" t="s">
        <v>125</v>
      </c>
      <c r="B70" s="481"/>
      <c r="C70" s="482"/>
      <c r="D70" s="16">
        <f>D69</f>
        <v>1275</v>
      </c>
      <c r="E70" s="16">
        <f t="shared" si="1"/>
        <v>1275</v>
      </c>
      <c r="F70" s="16">
        <f t="shared" si="1"/>
        <v>1275</v>
      </c>
      <c r="G70" s="16">
        <f t="shared" si="1"/>
        <v>1275</v>
      </c>
      <c r="H70" s="16">
        <f t="shared" si="1"/>
        <v>1275</v>
      </c>
      <c r="I70" s="16">
        <f t="shared" si="1"/>
        <v>1275</v>
      </c>
      <c r="J70" s="356">
        <f t="shared" si="1"/>
        <v>1275</v>
      </c>
      <c r="K70" s="356">
        <f t="shared" si="1"/>
        <v>1275</v>
      </c>
      <c r="L70" s="356">
        <f>L69</f>
        <v>1320</v>
      </c>
      <c r="M70" s="16">
        <f t="shared" si="1"/>
        <v>1320</v>
      </c>
      <c r="N70" s="16">
        <f t="shared" si="1"/>
        <v>1320</v>
      </c>
      <c r="O70" s="16">
        <f t="shared" si="1"/>
        <v>1320</v>
      </c>
      <c r="P70" s="483">
        <f>P69</f>
        <v>1290</v>
      </c>
      <c r="Q70" s="484"/>
    </row>
    <row r="71" ht="13.5" hidden="1"/>
    <row r="72" ht="14.25" thickBot="1"/>
    <row r="73" spans="1:2" ht="13.5">
      <c r="A73" s="12" t="s">
        <v>64</v>
      </c>
      <c r="B73" s="13" t="s">
        <v>131</v>
      </c>
    </row>
    <row r="75" ht="13.5" hidden="1"/>
    <row r="76" spans="1:18" ht="27.75" customHeight="1">
      <c r="A76" s="487" t="s">
        <v>40</v>
      </c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</row>
    <row r="79" ht="13.5">
      <c r="B79" s="1" t="s">
        <v>37</v>
      </c>
    </row>
    <row r="81" ht="13.5">
      <c r="B81" s="1" t="s">
        <v>85</v>
      </c>
    </row>
    <row r="83" spans="1:17" ht="15" customHeight="1">
      <c r="A83" s="460" t="s">
        <v>38</v>
      </c>
      <c r="B83" s="460"/>
      <c r="C83" s="460"/>
      <c r="D83" s="461" t="s">
        <v>63</v>
      </c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3"/>
      <c r="P83" s="440" t="s">
        <v>39</v>
      </c>
      <c r="Q83" s="441"/>
    </row>
    <row r="84" spans="1:17" ht="13.5">
      <c r="A84" s="460"/>
      <c r="B84" s="460"/>
      <c r="C84" s="460"/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354">
        <v>7</v>
      </c>
      <c r="K84" s="354">
        <v>8</v>
      </c>
      <c r="L84" s="354">
        <v>9</v>
      </c>
      <c r="M84" s="10">
        <v>10</v>
      </c>
      <c r="N84" s="10">
        <v>11</v>
      </c>
      <c r="O84" s="10">
        <v>12</v>
      </c>
      <c r="P84" s="479"/>
      <c r="Q84" s="480"/>
    </row>
    <row r="85" spans="1:17" ht="91.5" customHeight="1">
      <c r="A85" s="481" t="s">
        <v>106</v>
      </c>
      <c r="B85" s="481"/>
      <c r="C85" s="482"/>
      <c r="D85" s="66">
        <f>D108+D120</f>
        <v>3687668.2</v>
      </c>
      <c r="E85" s="66">
        <f aca="true" t="shared" si="2" ref="E85:P85">E108+E120</f>
        <v>3807077.2</v>
      </c>
      <c r="F85" s="66">
        <f t="shared" si="2"/>
        <v>3540386.6</v>
      </c>
      <c r="G85" s="66">
        <f t="shared" si="2"/>
        <v>3999634.2</v>
      </c>
      <c r="H85" s="66">
        <f t="shared" si="2"/>
        <v>5879237.2</v>
      </c>
      <c r="I85" s="66">
        <f t="shared" si="2"/>
        <v>4519514.6</v>
      </c>
      <c r="J85" s="357">
        <f t="shared" si="2"/>
        <v>1818329.6</v>
      </c>
      <c r="K85" s="357">
        <f t="shared" si="2"/>
        <v>2092529.2</v>
      </c>
      <c r="L85" s="357">
        <f t="shared" si="2"/>
        <v>3460109.2</v>
      </c>
      <c r="M85" s="66">
        <f t="shared" si="2"/>
        <v>3644379.95</v>
      </c>
      <c r="N85" s="66">
        <f t="shared" si="2"/>
        <v>3986673.95</v>
      </c>
      <c r="O85" s="66">
        <f t="shared" si="2"/>
        <v>3749201.1</v>
      </c>
      <c r="P85" s="488">
        <f t="shared" si="2"/>
        <v>44184741.00000001</v>
      </c>
      <c r="Q85" s="489"/>
    </row>
    <row r="86" ht="13.5" hidden="1"/>
    <row r="87" ht="14.25" thickBot="1"/>
    <row r="88" spans="1:13" ht="13.5">
      <c r="A88" s="12" t="s">
        <v>64</v>
      </c>
      <c r="B88" s="13" t="s">
        <v>131</v>
      </c>
      <c r="M88" s="1" t="s">
        <v>88</v>
      </c>
    </row>
    <row r="90" spans="1:18" ht="29.25" customHeight="1">
      <c r="A90" s="487" t="s">
        <v>40</v>
      </c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</row>
    <row r="92" ht="13.5">
      <c r="B92" s="1" t="s">
        <v>41</v>
      </c>
    </row>
    <row r="94" spans="1:17" ht="15" customHeight="1">
      <c r="A94" s="460" t="s">
        <v>35</v>
      </c>
      <c r="B94" s="460"/>
      <c r="C94" s="460" t="s">
        <v>42</v>
      </c>
      <c r="D94" s="461" t="s">
        <v>65</v>
      </c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3"/>
      <c r="P94" s="460" t="s">
        <v>39</v>
      </c>
      <c r="Q94" s="460"/>
    </row>
    <row r="95" spans="1:17" ht="41.25" customHeight="1">
      <c r="A95" s="460"/>
      <c r="B95" s="460"/>
      <c r="C95" s="460"/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54">
        <v>7</v>
      </c>
      <c r="K95" s="354">
        <v>8</v>
      </c>
      <c r="L95" s="354">
        <v>9</v>
      </c>
      <c r="M95" s="10">
        <v>10</v>
      </c>
      <c r="N95" s="10">
        <v>11</v>
      </c>
      <c r="O95" s="10">
        <v>12</v>
      </c>
      <c r="P95" s="460"/>
      <c r="Q95" s="460"/>
    </row>
    <row r="96" spans="1:17" ht="41.25" customHeight="1">
      <c r="A96" s="427" t="s">
        <v>119</v>
      </c>
      <c r="B96" s="424"/>
      <c r="C96" s="14" t="s">
        <v>43</v>
      </c>
      <c r="D96" s="41">
        <f aca="true" t="shared" si="3" ref="D96:O96">ROUND(D97/D67,2)</f>
        <v>0</v>
      </c>
      <c r="E96" s="41">
        <f t="shared" si="3"/>
        <v>0</v>
      </c>
      <c r="F96" s="41">
        <f t="shared" si="3"/>
        <v>0</v>
      </c>
      <c r="G96" s="41">
        <f t="shared" si="3"/>
        <v>0</v>
      </c>
      <c r="H96" s="41">
        <f t="shared" si="3"/>
        <v>0</v>
      </c>
      <c r="I96" s="41">
        <f t="shared" si="3"/>
        <v>0</v>
      </c>
      <c r="J96" s="358">
        <f t="shared" si="3"/>
        <v>0</v>
      </c>
      <c r="K96" s="358">
        <f t="shared" si="3"/>
        <v>0</v>
      </c>
      <c r="L96" s="358">
        <f t="shared" si="3"/>
        <v>0</v>
      </c>
      <c r="M96" s="41">
        <f t="shared" si="3"/>
        <v>0</v>
      </c>
      <c r="N96" s="41">
        <f t="shared" si="3"/>
        <v>0</v>
      </c>
      <c r="O96" s="41">
        <f t="shared" si="3"/>
        <v>0</v>
      </c>
      <c r="P96" s="436">
        <f>SUM(D96:O96)</f>
        <v>0</v>
      </c>
      <c r="Q96" s="436"/>
    </row>
    <row r="97" spans="1:18" ht="52.5">
      <c r="A97" s="425"/>
      <c r="B97" s="426"/>
      <c r="C97" s="14" t="s">
        <v>44</v>
      </c>
      <c r="D97" s="42">
        <f>'таблица вспом'!C36</f>
        <v>0</v>
      </c>
      <c r="E97" s="42">
        <f>'таблица вспом'!D36</f>
        <v>0</v>
      </c>
      <c r="F97" s="42">
        <f>'таблица вспом'!E36</f>
        <v>0</v>
      </c>
      <c r="G97" s="42">
        <f>'таблица вспом'!G36</f>
        <v>0</v>
      </c>
      <c r="H97" s="42">
        <f>'таблица вспом'!H36</f>
        <v>0</v>
      </c>
      <c r="I97" s="42">
        <f>'таблица вспом'!I36</f>
        <v>0</v>
      </c>
      <c r="J97" s="407">
        <f>'таблица вспом'!K36</f>
        <v>0</v>
      </c>
      <c r="K97" s="407">
        <f>'таблица вспом'!L36</f>
        <v>0</v>
      </c>
      <c r="L97" s="407">
        <f>'таблица вспом'!M36</f>
        <v>0</v>
      </c>
      <c r="M97" s="42">
        <f>'таблица вспом'!O36</f>
        <v>0</v>
      </c>
      <c r="N97" s="42">
        <f>'таблица вспом'!P36</f>
        <v>0</v>
      </c>
      <c r="O97" s="42">
        <f>'таблица вспом'!Q36</f>
        <v>0</v>
      </c>
      <c r="P97" s="436">
        <f aca="true" t="shared" si="4" ref="P97:P105">SUM(D97:O97)</f>
        <v>0</v>
      </c>
      <c r="Q97" s="436"/>
      <c r="R97" s="68"/>
    </row>
    <row r="98" spans="1:18" ht="39">
      <c r="A98" s="423" t="s">
        <v>159</v>
      </c>
      <c r="B98" s="424"/>
      <c r="C98" s="14" t="s">
        <v>43</v>
      </c>
      <c r="D98" s="41">
        <f>ROUND(D99/D67,2)</f>
        <v>0</v>
      </c>
      <c r="E98" s="41">
        <f>ROUND(E99/E67,2)</f>
        <v>0</v>
      </c>
      <c r="F98" s="41">
        <f>ROUND(F99/F67,2)</f>
        <v>0</v>
      </c>
      <c r="G98" s="41">
        <f>'таблица вспом'!G36</f>
        <v>0</v>
      </c>
      <c r="H98" s="41">
        <f aca="true" t="shared" si="5" ref="H98:O98">ROUND(H99/H67,2)</f>
        <v>0</v>
      </c>
      <c r="I98" s="41">
        <f t="shared" si="5"/>
        <v>0</v>
      </c>
      <c r="J98" s="358">
        <f t="shared" si="5"/>
        <v>0</v>
      </c>
      <c r="K98" s="358">
        <f t="shared" si="5"/>
        <v>0</v>
      </c>
      <c r="L98" s="358">
        <f t="shared" si="5"/>
        <v>0</v>
      </c>
      <c r="M98" s="41">
        <f t="shared" si="5"/>
        <v>0</v>
      </c>
      <c r="N98" s="41">
        <f t="shared" si="5"/>
        <v>0</v>
      </c>
      <c r="O98" s="41">
        <f t="shared" si="5"/>
        <v>0</v>
      </c>
      <c r="P98" s="436">
        <f>SUM(D98:O98)</f>
        <v>0</v>
      </c>
      <c r="Q98" s="436"/>
      <c r="R98" s="68"/>
    </row>
    <row r="99" spans="1:20" ht="52.5">
      <c r="A99" s="425"/>
      <c r="B99" s="426"/>
      <c r="C99" s="14" t="s">
        <v>44</v>
      </c>
      <c r="D99" s="42">
        <f>'таблица вспом'!C35</f>
        <v>0</v>
      </c>
      <c r="E99" s="42">
        <f>'таблица вспом'!D35</f>
        <v>0</v>
      </c>
      <c r="F99" s="42">
        <f>'таблица вспом'!E35</f>
        <v>0</v>
      </c>
      <c r="G99" s="42">
        <f>'таблица вспом'!G35</f>
        <v>0</v>
      </c>
      <c r="H99" s="42">
        <f>'таблица вспом'!H35</f>
        <v>0</v>
      </c>
      <c r="I99" s="42">
        <f>'таблица вспом'!I35</f>
        <v>0</v>
      </c>
      <c r="J99" s="407">
        <f>'таблица вспом'!K35</f>
        <v>0</v>
      </c>
      <c r="K99" s="407">
        <f>'таблица вспом'!L35</f>
        <v>0</v>
      </c>
      <c r="L99" s="407">
        <f>'таблица вспом'!M35</f>
        <v>0</v>
      </c>
      <c r="M99" s="42">
        <f>'таблица вспом'!O35</f>
        <v>0</v>
      </c>
      <c r="N99" s="42">
        <f>'таблица вспом'!P35</f>
        <v>0</v>
      </c>
      <c r="O99" s="42">
        <f>'таблица вспом'!Q35</f>
        <v>0</v>
      </c>
      <c r="P99" s="436">
        <f>SUM(D99:O99)</f>
        <v>0</v>
      </c>
      <c r="Q99" s="436"/>
      <c r="R99" s="68"/>
      <c r="T99" s="343">
        <f>SUM(D99:I99)</f>
        <v>0</v>
      </c>
    </row>
    <row r="100" spans="1:20" ht="54.75" customHeight="1">
      <c r="A100" s="427" t="s">
        <v>120</v>
      </c>
      <c r="B100" s="424"/>
      <c r="C100" s="14" t="s">
        <v>43</v>
      </c>
      <c r="D100" s="41">
        <f aca="true" t="shared" si="6" ref="D100:O100">ROUND(D101/D67,2)</f>
        <v>1608.74</v>
      </c>
      <c r="E100" s="41">
        <f t="shared" si="6"/>
        <v>1670.17</v>
      </c>
      <c r="F100" s="41">
        <f t="shared" si="6"/>
        <v>1621.19</v>
      </c>
      <c r="G100" s="41">
        <f t="shared" si="6"/>
        <v>1732.57</v>
      </c>
      <c r="H100" s="41">
        <f t="shared" si="6"/>
        <v>2757.93</v>
      </c>
      <c r="I100" s="41">
        <f t="shared" si="6"/>
        <v>2256.84</v>
      </c>
      <c r="J100" s="358">
        <f t="shared" si="6"/>
        <v>476.74</v>
      </c>
      <c r="K100" s="358">
        <f t="shared" si="6"/>
        <v>953.48</v>
      </c>
      <c r="L100" s="358">
        <f t="shared" si="6"/>
        <v>1565.92</v>
      </c>
      <c r="M100" s="41">
        <f t="shared" si="6"/>
        <v>1553.9</v>
      </c>
      <c r="N100" s="41">
        <f t="shared" si="6"/>
        <v>1672.69</v>
      </c>
      <c r="O100" s="41">
        <f t="shared" si="6"/>
        <v>1553.91</v>
      </c>
      <c r="P100" s="436">
        <f>SUM(D100:O100)</f>
        <v>19424.079999999998</v>
      </c>
      <c r="Q100" s="436"/>
      <c r="T100" s="343"/>
    </row>
    <row r="101" spans="1:20" ht="64.5" customHeight="1">
      <c r="A101" s="425"/>
      <c r="B101" s="426"/>
      <c r="C101" s="14" t="s">
        <v>44</v>
      </c>
      <c r="D101" s="42">
        <f>'таблица вспом'!C34</f>
        <v>2051145</v>
      </c>
      <c r="E101" s="42">
        <f>'таблица вспом'!D34</f>
        <v>2129465</v>
      </c>
      <c r="F101" s="42">
        <f>'таблица вспом'!E34</f>
        <v>2067019</v>
      </c>
      <c r="G101" s="42">
        <f>'таблица вспом'!G34</f>
        <v>2209023</v>
      </c>
      <c r="H101" s="42">
        <f>'таблица вспом'!H34</f>
        <v>3516366</v>
      </c>
      <c r="I101" s="42">
        <f>'таблица вспом'!I34</f>
        <v>2877477</v>
      </c>
      <c r="J101" s="407">
        <f>'таблица вспом'!K34</f>
        <v>607844</v>
      </c>
      <c r="K101" s="407">
        <f>'таблица вспом'!L34</f>
        <v>1215687</v>
      </c>
      <c r="L101" s="407">
        <f>'таблица вспом'!M34</f>
        <v>2067019</v>
      </c>
      <c r="M101" s="42">
        <f>'таблица вспом'!O34</f>
        <v>2051145</v>
      </c>
      <c r="N101" s="42">
        <f>'таблица вспом'!P34</f>
        <v>2207955</v>
      </c>
      <c r="O101" s="42">
        <f>'таблица вспом'!Q34</f>
        <v>2051155</v>
      </c>
      <c r="P101" s="436">
        <f>SUM(D101:O101)</f>
        <v>25051300</v>
      </c>
      <c r="Q101" s="436"/>
      <c r="T101" s="343">
        <f>SUM(D101:I101)</f>
        <v>14850495</v>
      </c>
    </row>
    <row r="102" spans="1:20" ht="41.25" customHeight="1">
      <c r="A102" s="428" t="s">
        <v>121</v>
      </c>
      <c r="B102" s="428"/>
      <c r="C102" s="14" t="s">
        <v>43</v>
      </c>
      <c r="D102" s="41">
        <f aca="true" t="shared" si="7" ref="D102:O102">ROUND(D103/D67,2)</f>
        <v>464.75</v>
      </c>
      <c r="E102" s="41">
        <f t="shared" si="7"/>
        <v>507.92</v>
      </c>
      <c r="F102" s="41">
        <f t="shared" si="7"/>
        <v>481.24</v>
      </c>
      <c r="G102" s="41">
        <f t="shared" si="7"/>
        <v>585.6</v>
      </c>
      <c r="H102" s="41">
        <f t="shared" si="7"/>
        <v>573.34</v>
      </c>
      <c r="I102" s="41">
        <f t="shared" si="7"/>
        <v>343.79</v>
      </c>
      <c r="J102" s="358">
        <f t="shared" si="7"/>
        <v>602.64</v>
      </c>
      <c r="K102" s="358">
        <f t="shared" si="7"/>
        <v>149.6</v>
      </c>
      <c r="L102" s="358">
        <f t="shared" si="7"/>
        <v>312.08</v>
      </c>
      <c r="M102" s="41">
        <f t="shared" si="7"/>
        <v>331.76</v>
      </c>
      <c r="N102" s="41">
        <f t="shared" si="7"/>
        <v>482.84</v>
      </c>
      <c r="O102" s="41">
        <f t="shared" si="7"/>
        <v>550.69</v>
      </c>
      <c r="P102" s="436">
        <f t="shared" si="4"/>
        <v>5386.25</v>
      </c>
      <c r="Q102" s="436"/>
      <c r="T102" s="343"/>
    </row>
    <row r="103" spans="1:20" ht="54" customHeight="1">
      <c r="A103" s="428"/>
      <c r="B103" s="428"/>
      <c r="C103" s="14" t="s">
        <v>44</v>
      </c>
      <c r="D103" s="42">
        <f>'таблица вспом'!C40</f>
        <v>592555.2</v>
      </c>
      <c r="E103" s="42">
        <f>'таблица вспом'!D40</f>
        <v>647597.2</v>
      </c>
      <c r="F103" s="42">
        <f>'таблица вспом'!E40</f>
        <v>613577.6</v>
      </c>
      <c r="G103" s="42">
        <f>'таблица вспом'!G40</f>
        <v>746643.2</v>
      </c>
      <c r="H103" s="42">
        <f>'таблица вспом'!H40</f>
        <v>731003.2</v>
      </c>
      <c r="I103" s="42">
        <f>'таблица вспом'!I40</f>
        <v>438331.6</v>
      </c>
      <c r="J103" s="407">
        <f>'таблица вспом'!K40</f>
        <v>768370.6</v>
      </c>
      <c r="K103" s="407">
        <f>'таблица вспом'!L40</f>
        <v>190743.2</v>
      </c>
      <c r="L103" s="407">
        <f>'таблица вспом'!M40</f>
        <v>411949.2</v>
      </c>
      <c r="M103" s="42">
        <f>'таблица вспом'!O40</f>
        <v>437916.95</v>
      </c>
      <c r="N103" s="42">
        <f>'таблица вспом'!P40</f>
        <v>637353.95</v>
      </c>
      <c r="O103" s="42">
        <f>'таблица вспом'!Q40</f>
        <v>726916.1</v>
      </c>
      <c r="P103" s="436">
        <f t="shared" si="4"/>
        <v>6942958.000000001</v>
      </c>
      <c r="Q103" s="436"/>
      <c r="T103" s="343">
        <f>SUM(D103:I103)</f>
        <v>3769708.0000000005</v>
      </c>
    </row>
    <row r="104" spans="1:20" ht="40.5" customHeight="1" hidden="1">
      <c r="A104" s="428" t="s">
        <v>86</v>
      </c>
      <c r="B104" s="428"/>
      <c r="C104" s="15" t="s">
        <v>43</v>
      </c>
      <c r="D104" s="41"/>
      <c r="E104" s="41"/>
      <c r="F104" s="41"/>
      <c r="G104" s="41"/>
      <c r="H104" s="41"/>
      <c r="I104" s="41"/>
      <c r="J104" s="358"/>
      <c r="K104" s="358"/>
      <c r="L104" s="358"/>
      <c r="M104" s="41"/>
      <c r="N104" s="41"/>
      <c r="O104" s="41"/>
      <c r="P104" s="436">
        <f t="shared" si="4"/>
        <v>0</v>
      </c>
      <c r="Q104" s="436"/>
      <c r="T104" s="343">
        <f>SUM(D104:I104)</f>
        <v>0</v>
      </c>
    </row>
    <row r="105" spans="1:20" ht="52.5" customHeight="1" hidden="1">
      <c r="A105" s="428"/>
      <c r="B105" s="428"/>
      <c r="C105" s="15" t="s">
        <v>44</v>
      </c>
      <c r="D105" s="41"/>
      <c r="E105" s="41"/>
      <c r="F105" s="41"/>
      <c r="G105" s="41"/>
      <c r="H105" s="41"/>
      <c r="I105" s="41"/>
      <c r="J105" s="358"/>
      <c r="K105" s="358"/>
      <c r="L105" s="358"/>
      <c r="M105" s="41"/>
      <c r="N105" s="41"/>
      <c r="O105" s="41"/>
      <c r="P105" s="436">
        <f t="shared" si="4"/>
        <v>0</v>
      </c>
      <c r="Q105" s="436"/>
      <c r="T105" s="343">
        <f>SUM(D105:I105)</f>
        <v>0</v>
      </c>
    </row>
    <row r="106" spans="1:20" ht="52.5" customHeight="1">
      <c r="A106" s="428" t="s">
        <v>122</v>
      </c>
      <c r="B106" s="428"/>
      <c r="C106" s="14" t="s">
        <v>43</v>
      </c>
      <c r="D106" s="41">
        <f aca="true" t="shared" si="8" ref="D106:O106">ROUND(D107/D67,2)</f>
        <v>674.35</v>
      </c>
      <c r="E106" s="41">
        <f t="shared" si="8"/>
        <v>674.35</v>
      </c>
      <c r="F106" s="41">
        <f t="shared" si="8"/>
        <v>674.35</v>
      </c>
      <c r="G106" s="41">
        <f t="shared" si="8"/>
        <v>674.35</v>
      </c>
      <c r="H106" s="41">
        <f t="shared" si="8"/>
        <v>1146.39</v>
      </c>
      <c r="I106" s="41">
        <f t="shared" si="8"/>
        <v>944.08</v>
      </c>
      <c r="J106" s="358">
        <f t="shared" si="8"/>
        <v>202.3</v>
      </c>
      <c r="K106" s="358">
        <f t="shared" si="8"/>
        <v>404.61</v>
      </c>
      <c r="L106" s="358">
        <f t="shared" si="8"/>
        <v>735.71</v>
      </c>
      <c r="M106" s="41">
        <f t="shared" si="8"/>
        <v>735.71</v>
      </c>
      <c r="N106" s="41">
        <f t="shared" si="8"/>
        <v>735.71</v>
      </c>
      <c r="O106" s="41">
        <f t="shared" si="8"/>
        <v>735.7</v>
      </c>
      <c r="P106" s="436">
        <f>SUM(D106:O106)</f>
        <v>8337.61</v>
      </c>
      <c r="Q106" s="436"/>
      <c r="T106" s="343"/>
    </row>
    <row r="107" spans="1:20" ht="52.5" customHeight="1">
      <c r="A107" s="428"/>
      <c r="B107" s="428"/>
      <c r="C107" s="14" t="s">
        <v>44</v>
      </c>
      <c r="D107" s="42">
        <f>'таблица вспом'!C39</f>
        <v>859790</v>
      </c>
      <c r="E107" s="42">
        <f>'таблица вспом'!D39</f>
        <v>859790</v>
      </c>
      <c r="F107" s="42">
        <f>'таблица вспом'!E39</f>
        <v>859790</v>
      </c>
      <c r="G107" s="42">
        <f>'таблица вспом'!G39</f>
        <v>859790</v>
      </c>
      <c r="H107" s="42">
        <f>'таблица вспом'!H39</f>
        <v>1461643</v>
      </c>
      <c r="I107" s="42">
        <f>'таблица вспом'!I39</f>
        <v>1203706</v>
      </c>
      <c r="J107" s="407">
        <f>'таблица вспом'!K39</f>
        <v>257937</v>
      </c>
      <c r="K107" s="407">
        <f>'таблица вспом'!L39</f>
        <v>515874</v>
      </c>
      <c r="L107" s="407">
        <f>'таблица вспом'!M39</f>
        <v>971141</v>
      </c>
      <c r="M107" s="42">
        <f>'таблица вспом'!O39</f>
        <v>971140</v>
      </c>
      <c r="N107" s="42">
        <f>'таблица вспом'!P39</f>
        <v>971140</v>
      </c>
      <c r="O107" s="42">
        <f>'таблица вспом'!Q39</f>
        <v>971130</v>
      </c>
      <c r="P107" s="436">
        <f>SUM(D107:O107)</f>
        <v>10762871</v>
      </c>
      <c r="Q107" s="436"/>
      <c r="T107" s="343">
        <f>SUM(D107:I107)</f>
        <v>6104509</v>
      </c>
    </row>
    <row r="108" spans="1:20" ht="77.25" customHeight="1">
      <c r="A108" s="428" t="s">
        <v>45</v>
      </c>
      <c r="B108" s="428"/>
      <c r="C108" s="15" t="s">
        <v>46</v>
      </c>
      <c r="D108" s="41">
        <f>D105+D103+D97+D107+D101+D99</f>
        <v>3503490.2</v>
      </c>
      <c r="E108" s="41">
        <f aca="true" t="shared" si="9" ref="E108:O108">E105+E103+E97+E107+E101+E99</f>
        <v>3636852.2</v>
      </c>
      <c r="F108" s="41">
        <f t="shared" si="9"/>
        <v>3540386.6</v>
      </c>
      <c r="G108" s="41">
        <f t="shared" si="9"/>
        <v>3815456.2</v>
      </c>
      <c r="H108" s="41">
        <f t="shared" si="9"/>
        <v>5709012.2</v>
      </c>
      <c r="I108" s="41">
        <f t="shared" si="9"/>
        <v>4519514.6</v>
      </c>
      <c r="J108" s="358">
        <f t="shared" si="9"/>
        <v>1634151.6</v>
      </c>
      <c r="K108" s="358">
        <f t="shared" si="9"/>
        <v>1922304.2</v>
      </c>
      <c r="L108" s="358">
        <f t="shared" si="9"/>
        <v>3450109.2</v>
      </c>
      <c r="M108" s="41">
        <f t="shared" si="9"/>
        <v>3460201.95</v>
      </c>
      <c r="N108" s="41">
        <f t="shared" si="9"/>
        <v>3816448.95</v>
      </c>
      <c r="O108" s="41">
        <f t="shared" si="9"/>
        <v>3749201.1</v>
      </c>
      <c r="P108" s="436">
        <f>SUM(D108:O108)</f>
        <v>42757129.00000001</v>
      </c>
      <c r="Q108" s="436"/>
      <c r="T108" s="343"/>
    </row>
    <row r="109" ht="14.25" thickBot="1"/>
    <row r="110" spans="1:2" ht="21" customHeight="1">
      <c r="A110" s="12" t="s">
        <v>64</v>
      </c>
      <c r="B110" s="13" t="s">
        <v>131</v>
      </c>
    </row>
    <row r="113" spans="1:18" ht="29.25" customHeight="1">
      <c r="A113" s="487" t="s">
        <v>40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</row>
    <row r="116" ht="13.5">
      <c r="B116" s="1" t="s">
        <v>47</v>
      </c>
    </row>
    <row r="118" spans="1:17" ht="15" customHeight="1">
      <c r="A118" s="460" t="s">
        <v>35</v>
      </c>
      <c r="B118" s="460"/>
      <c r="C118" s="460"/>
      <c r="D118" s="461" t="s">
        <v>65</v>
      </c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3"/>
      <c r="P118" s="440" t="s">
        <v>39</v>
      </c>
      <c r="Q118" s="441"/>
    </row>
    <row r="119" spans="1:17" ht="13.5">
      <c r="A119" s="460"/>
      <c r="B119" s="460"/>
      <c r="C119" s="460"/>
      <c r="D119" s="10">
        <v>1</v>
      </c>
      <c r="E119" s="10">
        <v>2</v>
      </c>
      <c r="F119" s="10">
        <v>3</v>
      </c>
      <c r="G119" s="10">
        <v>4</v>
      </c>
      <c r="H119" s="10">
        <v>5</v>
      </c>
      <c r="I119" s="10">
        <v>6</v>
      </c>
      <c r="J119" s="354">
        <v>7</v>
      </c>
      <c r="K119" s="354">
        <v>8</v>
      </c>
      <c r="L119" s="354">
        <v>9</v>
      </c>
      <c r="M119" s="10">
        <v>10</v>
      </c>
      <c r="N119" s="10">
        <v>11</v>
      </c>
      <c r="O119" s="10">
        <v>12</v>
      </c>
      <c r="P119" s="479"/>
      <c r="Q119" s="480"/>
    </row>
    <row r="120" spans="1:17" ht="94.5" customHeight="1">
      <c r="A120" s="429" t="s">
        <v>107</v>
      </c>
      <c r="B120" s="429"/>
      <c r="C120" s="430"/>
      <c r="D120" s="44">
        <f>D121</f>
        <v>184178</v>
      </c>
      <c r="E120" s="44">
        <f aca="true" t="shared" si="10" ref="E120:O120">E121</f>
        <v>170225</v>
      </c>
      <c r="F120" s="44">
        <f t="shared" si="10"/>
        <v>0</v>
      </c>
      <c r="G120" s="44">
        <f t="shared" si="10"/>
        <v>184178</v>
      </c>
      <c r="H120" s="44">
        <f t="shared" si="10"/>
        <v>170225</v>
      </c>
      <c r="I120" s="44">
        <f t="shared" si="10"/>
        <v>0</v>
      </c>
      <c r="J120" s="359">
        <f t="shared" si="10"/>
        <v>184178</v>
      </c>
      <c r="K120" s="359">
        <f t="shared" si="10"/>
        <v>170225</v>
      </c>
      <c r="L120" s="359">
        <f t="shared" si="10"/>
        <v>10000</v>
      </c>
      <c r="M120" s="44">
        <f t="shared" si="10"/>
        <v>184178</v>
      </c>
      <c r="N120" s="44">
        <f t="shared" si="10"/>
        <v>170225</v>
      </c>
      <c r="O120" s="44">
        <f t="shared" si="10"/>
        <v>0</v>
      </c>
      <c r="P120" s="483">
        <f>SUM(D120:O120)</f>
        <v>1427612</v>
      </c>
      <c r="Q120" s="484"/>
    </row>
    <row r="121" spans="1:20" ht="31.5" customHeight="1">
      <c r="A121" s="486" t="s">
        <v>86</v>
      </c>
      <c r="B121" s="481"/>
      <c r="C121" s="482"/>
      <c r="D121" s="45">
        <f>'таблица вспом'!C43</f>
        <v>184178</v>
      </c>
      <c r="E121" s="45">
        <f>'таблица вспом'!D43</f>
        <v>170225</v>
      </c>
      <c r="F121" s="45">
        <f>'таблица вспом'!E43</f>
        <v>0</v>
      </c>
      <c r="G121" s="45">
        <f>'таблица вспом'!G43</f>
        <v>184178</v>
      </c>
      <c r="H121" s="45">
        <f>'таблица вспом'!H43</f>
        <v>170225</v>
      </c>
      <c r="I121" s="45">
        <f>'таблица вспом'!I43</f>
        <v>0</v>
      </c>
      <c r="J121" s="359">
        <f>'таблица вспом'!K43</f>
        <v>184178</v>
      </c>
      <c r="K121" s="359">
        <f>'таблица вспом'!L43</f>
        <v>170225</v>
      </c>
      <c r="L121" s="359">
        <f>'таблица вспом'!M43</f>
        <v>10000</v>
      </c>
      <c r="M121" s="45">
        <f>'таблица вспом'!O43</f>
        <v>184178</v>
      </c>
      <c r="N121" s="45">
        <f>'таблица вспом'!P43</f>
        <v>170225</v>
      </c>
      <c r="O121" s="45">
        <f>'таблица вспом'!Q43</f>
        <v>0</v>
      </c>
      <c r="P121" s="418">
        <f>SUM(D121:O121)</f>
        <v>1427612</v>
      </c>
      <c r="Q121" s="419"/>
      <c r="T121" s="1">
        <f>D121+E121+F121+G121+H121+I121</f>
        <v>708806</v>
      </c>
    </row>
    <row r="122" ht="14.25" thickBot="1"/>
    <row r="123" spans="1:2" ht="13.5">
      <c r="A123" s="12" t="s">
        <v>64</v>
      </c>
      <c r="B123" s="13" t="s">
        <v>131</v>
      </c>
    </row>
    <row r="125" spans="1:18" ht="33" customHeight="1">
      <c r="A125" s="487" t="s">
        <v>40</v>
      </c>
      <c r="B125" s="487"/>
      <c r="C125" s="487"/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</row>
    <row r="128" ht="13.5">
      <c r="B128" s="1" t="s">
        <v>48</v>
      </c>
    </row>
    <row r="130" spans="1:17" ht="15" customHeight="1">
      <c r="A130" s="460" t="s">
        <v>49</v>
      </c>
      <c r="B130" s="460"/>
      <c r="C130" s="460"/>
      <c r="D130" s="461" t="s">
        <v>65</v>
      </c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3"/>
      <c r="P130" s="440" t="s">
        <v>39</v>
      </c>
      <c r="Q130" s="441"/>
    </row>
    <row r="131" spans="1:23" ht="13.5">
      <c r="A131" s="460"/>
      <c r="B131" s="460"/>
      <c r="C131" s="460"/>
      <c r="D131" s="10">
        <v>1</v>
      </c>
      <c r="E131" s="10">
        <v>2</v>
      </c>
      <c r="F131" s="10">
        <v>3</v>
      </c>
      <c r="G131" s="10">
        <v>4</v>
      </c>
      <c r="H131" s="10">
        <v>5</v>
      </c>
      <c r="I131" s="10">
        <v>6</v>
      </c>
      <c r="J131" s="354">
        <v>7</v>
      </c>
      <c r="K131" s="354">
        <v>8</v>
      </c>
      <c r="L131" s="354">
        <v>9</v>
      </c>
      <c r="M131" s="10">
        <v>10</v>
      </c>
      <c r="N131" s="10">
        <v>11</v>
      </c>
      <c r="O131" s="10">
        <v>12</v>
      </c>
      <c r="P131" s="479"/>
      <c r="Q131" s="480"/>
      <c r="T131" s="1">
        <v>198248</v>
      </c>
      <c r="U131" s="1">
        <v>297372</v>
      </c>
      <c r="V131" s="1">
        <v>125557</v>
      </c>
      <c r="W131" s="1">
        <v>502228</v>
      </c>
    </row>
    <row r="132" spans="1:24" ht="63" customHeight="1">
      <c r="A132" s="431" t="s">
        <v>404</v>
      </c>
      <c r="B132" s="431"/>
      <c r="C132" s="432"/>
      <c r="D132" s="365">
        <f>SUM(D133:D145)+D147+D149+D150+D151+D152+D153</f>
        <v>99124</v>
      </c>
      <c r="E132" s="365">
        <f aca="true" t="shared" si="11" ref="E132:O132">SUM(E133:E145)+E147+E149+E150+E151+E152+E153</f>
        <v>99124</v>
      </c>
      <c r="F132" s="365">
        <f>SUM(F133:F145)+F147+F149+F150+F151+F152+F153</f>
        <v>0</v>
      </c>
      <c r="G132" s="365">
        <f t="shared" si="11"/>
        <v>198248</v>
      </c>
      <c r="H132" s="365">
        <f t="shared" si="11"/>
        <v>99124</v>
      </c>
      <c r="I132" s="365">
        <f t="shared" si="11"/>
        <v>36711.9</v>
      </c>
      <c r="J132" s="366">
        <f>SUM(J133:J145)+J147+J149+J150+J151+J152+J153</f>
        <v>85661.1</v>
      </c>
      <c r="K132" s="366">
        <f t="shared" si="11"/>
        <v>0</v>
      </c>
      <c r="L132" s="366">
        <f t="shared" si="11"/>
        <v>125557</v>
      </c>
      <c r="M132" s="365">
        <f>SUM(M133:M145)+M147+M149+M150+M151+M152+M153</f>
        <v>188335</v>
      </c>
      <c r="N132" s="365">
        <f t="shared" si="11"/>
        <v>156946</v>
      </c>
      <c r="O132" s="365">
        <f t="shared" si="11"/>
        <v>2918797.73</v>
      </c>
      <c r="P132" s="418">
        <f>SUM(D132:O132)</f>
        <v>4007628.73</v>
      </c>
      <c r="Q132" s="419"/>
      <c r="T132" s="1">
        <f aca="true" t="shared" si="12" ref="T132:T138">D132+E132+F132</f>
        <v>198248</v>
      </c>
      <c r="U132" s="1">
        <f>G132+H132+I132</f>
        <v>334083.9</v>
      </c>
      <c r="V132" s="1">
        <f>J132+K132+L132</f>
        <v>211218.1</v>
      </c>
      <c r="W132" s="343">
        <f>M132+N132+O132</f>
        <v>3264078.73</v>
      </c>
      <c r="X132" s="343">
        <f>W132-1398969.02</f>
        <v>1865109.71</v>
      </c>
    </row>
    <row r="133" spans="1:23" ht="35.25" customHeight="1">
      <c r="A133" s="431" t="s">
        <v>434</v>
      </c>
      <c r="B133" s="431"/>
      <c r="C133" s="432"/>
      <c r="D133" s="365">
        <v>99124</v>
      </c>
      <c r="E133" s="365">
        <v>99124</v>
      </c>
      <c r="F133" s="365"/>
      <c r="G133" s="365">
        <f>99124+99124</f>
        <v>198248</v>
      </c>
      <c r="H133" s="365">
        <v>99124</v>
      </c>
      <c r="I133" s="365"/>
      <c r="J133" s="366"/>
      <c r="K133" s="366"/>
      <c r="L133" s="365">
        <v>125557</v>
      </c>
      <c r="M133" s="365">
        <v>188335</v>
      </c>
      <c r="N133" s="365">
        <v>156946</v>
      </c>
      <c r="O133" s="365">
        <v>156947</v>
      </c>
      <c r="P133" s="418">
        <f>SUM(D133:O133)</f>
        <v>1123405</v>
      </c>
      <c r="Q133" s="419"/>
      <c r="T133" s="1">
        <f t="shared" si="12"/>
        <v>198248</v>
      </c>
      <c r="U133" s="1">
        <f aca="true" t="shared" si="13" ref="U133:U138">G133+H133+I133</f>
        <v>297372</v>
      </c>
      <c r="V133" s="1">
        <f aca="true" t="shared" si="14" ref="V133:V138">J133+K133+L133</f>
        <v>125557</v>
      </c>
      <c r="W133" s="1">
        <f aca="true" t="shared" si="15" ref="W133:W138">M133+N133+O133</f>
        <v>502228</v>
      </c>
    </row>
    <row r="134" spans="1:23" s="340" customFormat="1" ht="42.75" customHeight="1">
      <c r="A134" s="431" t="s">
        <v>435</v>
      </c>
      <c r="B134" s="431"/>
      <c r="C134" s="432"/>
      <c r="D134" s="365"/>
      <c r="E134" s="365"/>
      <c r="F134" s="365"/>
      <c r="G134" s="365"/>
      <c r="H134" s="365"/>
      <c r="I134" s="365">
        <v>36711.9</v>
      </c>
      <c r="J134" s="366">
        <v>85661.1</v>
      </c>
      <c r="L134" s="366"/>
      <c r="M134" s="365"/>
      <c r="N134" s="365"/>
      <c r="O134" s="365"/>
      <c r="P134" s="418">
        <f>SUM(D134:O134)</f>
        <v>122373</v>
      </c>
      <c r="Q134" s="419"/>
      <c r="T134" s="1">
        <f t="shared" si="12"/>
        <v>0</v>
      </c>
      <c r="U134" s="1">
        <f t="shared" si="13"/>
        <v>36711.9</v>
      </c>
      <c r="V134" s="1">
        <f>K134+J134+L134</f>
        <v>85661.1</v>
      </c>
      <c r="W134" s="1">
        <f t="shared" si="15"/>
        <v>0</v>
      </c>
    </row>
    <row r="135" spans="1:23" s="340" customFormat="1" ht="49.5" customHeight="1" thickBot="1">
      <c r="A135" s="415" t="s">
        <v>436</v>
      </c>
      <c r="B135" s="416"/>
      <c r="C135" s="417"/>
      <c r="D135" s="367"/>
      <c r="E135" s="367"/>
      <c r="F135" s="367"/>
      <c r="G135" s="367"/>
      <c r="H135" s="367"/>
      <c r="I135" s="367"/>
      <c r="J135" s="368"/>
      <c r="K135" s="368"/>
      <c r="L135" s="368"/>
      <c r="M135" s="367"/>
      <c r="N135" s="367"/>
      <c r="O135" s="367">
        <v>2761850.73</v>
      </c>
      <c r="P135" s="490">
        <f aca="true" t="shared" si="16" ref="P135:P141">SUM(D135:O135)</f>
        <v>2761850.73</v>
      </c>
      <c r="Q135" s="491"/>
      <c r="T135" s="1">
        <f t="shared" si="12"/>
        <v>0</v>
      </c>
      <c r="U135" s="1">
        <f t="shared" si="13"/>
        <v>0</v>
      </c>
      <c r="V135" s="1">
        <f t="shared" si="14"/>
        <v>0</v>
      </c>
      <c r="W135" s="1">
        <f t="shared" si="15"/>
        <v>2761850.73</v>
      </c>
    </row>
    <row r="136" spans="1:23" s="340" customFormat="1" ht="53.25" customHeight="1" hidden="1">
      <c r="A136" s="415"/>
      <c r="B136" s="416"/>
      <c r="C136" s="417"/>
      <c r="D136" s="367"/>
      <c r="E136" s="367"/>
      <c r="F136" s="367"/>
      <c r="G136" s="367"/>
      <c r="H136" s="367"/>
      <c r="I136" s="367"/>
      <c r="J136" s="368"/>
      <c r="K136" s="368"/>
      <c r="L136" s="368"/>
      <c r="M136" s="367"/>
      <c r="N136" s="367"/>
      <c r="O136" s="367"/>
      <c r="P136" s="490">
        <f t="shared" si="16"/>
        <v>0</v>
      </c>
      <c r="Q136" s="491"/>
      <c r="T136" s="1">
        <f t="shared" si="12"/>
        <v>0</v>
      </c>
      <c r="U136" s="1">
        <f t="shared" si="13"/>
        <v>0</v>
      </c>
      <c r="V136" s="1">
        <f t="shared" si="14"/>
        <v>0</v>
      </c>
      <c r="W136" s="1">
        <f t="shared" si="15"/>
        <v>0</v>
      </c>
    </row>
    <row r="137" spans="1:23" s="340" customFormat="1" ht="63.75" customHeight="1" hidden="1" thickBot="1">
      <c r="A137" s="492"/>
      <c r="B137" s="493"/>
      <c r="C137" s="494"/>
      <c r="D137" s="367"/>
      <c r="E137" s="367"/>
      <c r="F137" s="367"/>
      <c r="G137" s="367"/>
      <c r="H137" s="367"/>
      <c r="I137" s="367"/>
      <c r="J137" s="368"/>
      <c r="K137" s="368"/>
      <c r="L137" s="368"/>
      <c r="M137" s="367"/>
      <c r="N137" s="367"/>
      <c r="O137" s="367"/>
      <c r="P137" s="490">
        <f t="shared" si="16"/>
        <v>0</v>
      </c>
      <c r="Q137" s="491"/>
      <c r="T137" s="1">
        <f t="shared" si="12"/>
        <v>0</v>
      </c>
      <c r="U137" s="1">
        <f t="shared" si="13"/>
        <v>0</v>
      </c>
      <c r="V137" s="1">
        <f t="shared" si="14"/>
        <v>0</v>
      </c>
      <c r="W137" s="1">
        <f t="shared" si="15"/>
        <v>0</v>
      </c>
    </row>
    <row r="138" spans="1:23" s="340" customFormat="1" ht="49.5" customHeight="1" hidden="1">
      <c r="A138" s="492"/>
      <c r="B138" s="493"/>
      <c r="C138" s="494"/>
      <c r="D138" s="367"/>
      <c r="E138" s="367"/>
      <c r="F138" s="367"/>
      <c r="G138" s="367"/>
      <c r="H138" s="367"/>
      <c r="I138" s="367"/>
      <c r="J138" s="368"/>
      <c r="K138" s="368"/>
      <c r="L138" s="368"/>
      <c r="M138" s="367"/>
      <c r="N138" s="367"/>
      <c r="O138" s="367"/>
      <c r="P138" s="490">
        <f t="shared" si="16"/>
        <v>0</v>
      </c>
      <c r="Q138" s="491"/>
      <c r="T138" s="1">
        <f t="shared" si="12"/>
        <v>0</v>
      </c>
      <c r="U138" s="1">
        <f t="shared" si="13"/>
        <v>0</v>
      </c>
      <c r="V138" s="1">
        <f t="shared" si="14"/>
        <v>0</v>
      </c>
      <c r="W138" s="1">
        <f t="shared" si="15"/>
        <v>0</v>
      </c>
    </row>
    <row r="139" spans="1:17" s="340" customFormat="1" ht="39" customHeight="1" hidden="1">
      <c r="A139" s="415"/>
      <c r="B139" s="416"/>
      <c r="C139" s="417"/>
      <c r="D139" s="367"/>
      <c r="E139" s="367"/>
      <c r="F139" s="367"/>
      <c r="G139" s="367"/>
      <c r="H139" s="367"/>
      <c r="I139" s="367"/>
      <c r="J139" s="368"/>
      <c r="K139" s="368"/>
      <c r="L139" s="368"/>
      <c r="M139" s="367"/>
      <c r="N139" s="367"/>
      <c r="O139" s="367"/>
      <c r="P139" s="490">
        <f>SUM(D139:O139)</f>
        <v>0</v>
      </c>
      <c r="Q139" s="491"/>
    </row>
    <row r="140" spans="1:17" s="340" customFormat="1" ht="62.25" customHeight="1" hidden="1">
      <c r="A140" s="415"/>
      <c r="B140" s="416"/>
      <c r="C140" s="417"/>
      <c r="D140" s="367"/>
      <c r="E140" s="367"/>
      <c r="F140" s="367"/>
      <c r="G140" s="367"/>
      <c r="H140" s="367"/>
      <c r="I140" s="367"/>
      <c r="J140" s="368"/>
      <c r="K140" s="368"/>
      <c r="L140" s="368"/>
      <c r="M140" s="367"/>
      <c r="N140" s="367"/>
      <c r="O140" s="367"/>
      <c r="P140" s="490">
        <f t="shared" si="16"/>
        <v>0</v>
      </c>
      <c r="Q140" s="491"/>
    </row>
    <row r="141" spans="1:17" s="340" customFormat="1" ht="60" customHeight="1" hidden="1">
      <c r="A141" s="415"/>
      <c r="B141" s="416"/>
      <c r="C141" s="417"/>
      <c r="D141" s="367"/>
      <c r="E141" s="367"/>
      <c r="F141" s="367"/>
      <c r="G141" s="367"/>
      <c r="H141" s="367"/>
      <c r="I141" s="367"/>
      <c r="J141" s="368"/>
      <c r="K141" s="368"/>
      <c r="L141" s="368"/>
      <c r="M141" s="367"/>
      <c r="N141" s="367"/>
      <c r="O141" s="367"/>
      <c r="P141" s="490">
        <f t="shared" si="16"/>
        <v>0</v>
      </c>
      <c r="Q141" s="491"/>
    </row>
    <row r="142" spans="1:17" s="340" customFormat="1" ht="13.5" hidden="1">
      <c r="A142" s="415"/>
      <c r="B142" s="416"/>
      <c r="C142" s="417"/>
      <c r="D142" s="367"/>
      <c r="E142" s="367"/>
      <c r="F142" s="367"/>
      <c r="G142" s="367"/>
      <c r="H142" s="367"/>
      <c r="I142" s="367"/>
      <c r="J142" s="368"/>
      <c r="K142" s="368"/>
      <c r="L142" s="368"/>
      <c r="M142" s="367"/>
      <c r="N142" s="367"/>
      <c r="O142" s="367"/>
      <c r="P142" s="490">
        <f>SUM(D142:O142)</f>
        <v>0</v>
      </c>
      <c r="Q142" s="491"/>
    </row>
    <row r="143" spans="1:17" s="340" customFormat="1" ht="38.25" customHeight="1" hidden="1">
      <c r="A143" s="415"/>
      <c r="B143" s="416"/>
      <c r="C143" s="417"/>
      <c r="D143" s="367"/>
      <c r="E143" s="367"/>
      <c r="F143" s="367"/>
      <c r="G143" s="367"/>
      <c r="H143" s="367"/>
      <c r="I143" s="367"/>
      <c r="J143" s="368"/>
      <c r="K143" s="368"/>
      <c r="L143" s="368"/>
      <c r="M143" s="367"/>
      <c r="N143" s="367"/>
      <c r="O143" s="367"/>
      <c r="P143" s="490">
        <f>SUM(D143:O143)</f>
        <v>0</v>
      </c>
      <c r="Q143" s="491"/>
    </row>
    <row r="144" spans="1:17" ht="72.75" customHeight="1" hidden="1">
      <c r="A144" s="562"/>
      <c r="B144" s="431"/>
      <c r="C144" s="432"/>
      <c r="D144" s="369"/>
      <c r="E144" s="369"/>
      <c r="F144" s="365"/>
      <c r="G144" s="369"/>
      <c r="H144" s="369"/>
      <c r="I144" s="369"/>
      <c r="J144" s="370"/>
      <c r="K144" s="370"/>
      <c r="L144" s="370"/>
      <c r="M144" s="365"/>
      <c r="N144" s="369"/>
      <c r="O144" s="369"/>
      <c r="P144" s="418">
        <f>SUM(D144:O144)</f>
        <v>0</v>
      </c>
      <c r="Q144" s="419"/>
    </row>
    <row r="145" spans="1:17" ht="60" customHeight="1" hidden="1" thickBot="1">
      <c r="A145" s="433"/>
      <c r="B145" s="434"/>
      <c r="C145" s="435"/>
      <c r="D145" s="371"/>
      <c r="E145" s="371"/>
      <c r="F145" s="372"/>
      <c r="G145" s="371"/>
      <c r="H145" s="371"/>
      <c r="I145" s="371"/>
      <c r="J145" s="373"/>
      <c r="K145" s="373"/>
      <c r="L145" s="366"/>
      <c r="M145" s="372"/>
      <c r="N145" s="371"/>
      <c r="O145" s="371"/>
      <c r="P145" s="410">
        <f>SUM(D145:O145)</f>
        <v>0</v>
      </c>
      <c r="Q145" s="411"/>
    </row>
    <row r="146" spans="1:17" ht="27" customHeight="1" hidden="1">
      <c r="A146" s="420" t="s">
        <v>338</v>
      </c>
      <c r="B146" s="421"/>
      <c r="C146" s="421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421"/>
      <c r="Q146" s="422"/>
    </row>
    <row r="147" spans="1:17" ht="51" customHeight="1" hidden="1">
      <c r="A147" s="412"/>
      <c r="B147" s="413"/>
      <c r="C147" s="414"/>
      <c r="D147" s="369"/>
      <c r="E147" s="369"/>
      <c r="F147" s="365"/>
      <c r="G147" s="369"/>
      <c r="H147" s="369"/>
      <c r="I147" s="369"/>
      <c r="J147" s="366"/>
      <c r="K147" s="370"/>
      <c r="L147" s="370"/>
      <c r="M147" s="369"/>
      <c r="N147" s="369"/>
      <c r="O147" s="369"/>
      <c r="P147" s="418">
        <f>SUM(D147:O147)</f>
        <v>0</v>
      </c>
      <c r="Q147" s="419"/>
    </row>
    <row r="148" spans="1:17" ht="31.5" customHeight="1" hidden="1">
      <c r="A148" s="420" t="s">
        <v>339</v>
      </c>
      <c r="B148" s="421"/>
      <c r="C148" s="421"/>
      <c r="D148" s="421"/>
      <c r="E148" s="421"/>
      <c r="F148" s="421"/>
      <c r="G148" s="421"/>
      <c r="H148" s="421"/>
      <c r="I148" s="421"/>
      <c r="J148" s="421"/>
      <c r="K148" s="421"/>
      <c r="L148" s="421"/>
      <c r="M148" s="421"/>
      <c r="N148" s="421"/>
      <c r="O148" s="421"/>
      <c r="P148" s="421"/>
      <c r="Q148" s="422"/>
    </row>
    <row r="149" spans="1:17" ht="69.75" customHeight="1" hidden="1">
      <c r="A149" s="412"/>
      <c r="B149" s="413"/>
      <c r="C149" s="414"/>
      <c r="D149" s="369"/>
      <c r="E149" s="369"/>
      <c r="F149" s="365"/>
      <c r="G149" s="369"/>
      <c r="H149" s="369"/>
      <c r="I149" s="369"/>
      <c r="J149" s="370"/>
      <c r="K149" s="370"/>
      <c r="L149" s="366"/>
      <c r="M149" s="365"/>
      <c r="N149" s="369"/>
      <c r="O149" s="369"/>
      <c r="P149" s="418">
        <f>SUM(D149:O149)</f>
        <v>0</v>
      </c>
      <c r="Q149" s="419"/>
    </row>
    <row r="150" spans="1:17" ht="36.75" customHeight="1" hidden="1">
      <c r="A150" s="412"/>
      <c r="B150" s="413"/>
      <c r="C150" s="414"/>
      <c r="D150" s="369"/>
      <c r="E150" s="369"/>
      <c r="F150" s="365"/>
      <c r="G150" s="369"/>
      <c r="H150" s="369"/>
      <c r="I150" s="369"/>
      <c r="J150" s="370"/>
      <c r="K150" s="370"/>
      <c r="L150" s="370"/>
      <c r="M150" s="369"/>
      <c r="N150" s="369"/>
      <c r="O150" s="369"/>
      <c r="P150" s="418">
        <f>SUM(D150:O150)</f>
        <v>0</v>
      </c>
      <c r="Q150" s="419"/>
    </row>
    <row r="151" spans="1:17" ht="36" customHeight="1" hidden="1">
      <c r="A151" s="412"/>
      <c r="B151" s="413"/>
      <c r="C151" s="414"/>
      <c r="D151" s="369"/>
      <c r="E151" s="369"/>
      <c r="F151" s="365"/>
      <c r="G151" s="369"/>
      <c r="H151" s="369"/>
      <c r="I151" s="365"/>
      <c r="J151" s="370"/>
      <c r="K151" s="370"/>
      <c r="L151" s="370"/>
      <c r="M151" s="369"/>
      <c r="N151" s="369"/>
      <c r="O151" s="369"/>
      <c r="P151" s="418">
        <f>SUM(D151:O151)</f>
        <v>0</v>
      </c>
      <c r="Q151" s="419"/>
    </row>
    <row r="152" spans="1:17" ht="69.75" customHeight="1" hidden="1">
      <c r="A152" s="412"/>
      <c r="B152" s="413"/>
      <c r="C152" s="414"/>
      <c r="D152" s="369"/>
      <c r="E152" s="369"/>
      <c r="F152" s="365"/>
      <c r="G152" s="369"/>
      <c r="H152" s="369"/>
      <c r="I152" s="369"/>
      <c r="J152" s="370"/>
      <c r="K152" s="370"/>
      <c r="L152" s="370"/>
      <c r="M152" s="369"/>
      <c r="N152" s="369"/>
      <c r="O152" s="369"/>
      <c r="P152" s="418">
        <f>SUM(D152:O152)</f>
        <v>0</v>
      </c>
      <c r="Q152" s="419"/>
    </row>
    <row r="153" spans="1:17" ht="135" customHeight="1" hidden="1">
      <c r="A153" s="510"/>
      <c r="B153" s="511"/>
      <c r="C153" s="512"/>
      <c r="D153" s="9"/>
      <c r="E153" s="9"/>
      <c r="F153" s="43"/>
      <c r="G153" s="9"/>
      <c r="H153" s="9"/>
      <c r="I153" s="9"/>
      <c r="J153" s="355"/>
      <c r="K153" s="355"/>
      <c r="L153" s="355"/>
      <c r="M153" s="43"/>
      <c r="N153" s="9"/>
      <c r="O153" s="9"/>
      <c r="P153" s="418">
        <f>SUM(D153:O153)</f>
        <v>0</v>
      </c>
      <c r="Q153" s="419"/>
    </row>
    <row r="154" spans="1:17" ht="13.5" hidden="1">
      <c r="A154" s="486" t="s">
        <v>36</v>
      </c>
      <c r="B154" s="481"/>
      <c r="C154" s="482"/>
      <c r="D154" s="9"/>
      <c r="E154" s="9"/>
      <c r="F154" s="9"/>
      <c r="G154" s="9"/>
      <c r="H154" s="9"/>
      <c r="I154" s="9"/>
      <c r="J154" s="355"/>
      <c r="K154" s="355"/>
      <c r="L154" s="355"/>
      <c r="M154" s="9"/>
      <c r="N154" s="9"/>
      <c r="O154" s="9"/>
      <c r="P154" s="483"/>
      <c r="Q154" s="484"/>
    </row>
    <row r="155" spans="1:17" ht="28.5" customHeight="1" hidden="1">
      <c r="A155" s="486" t="s">
        <v>50</v>
      </c>
      <c r="B155" s="481"/>
      <c r="C155" s="482"/>
      <c r="D155" s="9"/>
      <c r="E155" s="9"/>
      <c r="F155" s="9"/>
      <c r="G155" s="9"/>
      <c r="H155" s="9"/>
      <c r="I155" s="9"/>
      <c r="J155" s="355"/>
      <c r="K155" s="355"/>
      <c r="L155" s="355"/>
      <c r="M155" s="9"/>
      <c r="N155" s="9"/>
      <c r="O155" s="9"/>
      <c r="P155" s="483"/>
      <c r="Q155" s="484"/>
    </row>
    <row r="156" ht="14.25" hidden="1" thickBot="1"/>
    <row r="157" spans="1:2" ht="13.5">
      <c r="A157" s="12" t="s">
        <v>64</v>
      </c>
      <c r="B157" s="13" t="s">
        <v>131</v>
      </c>
    </row>
    <row r="159" spans="1:18" ht="29.25" customHeight="1">
      <c r="A159" s="487" t="s">
        <v>40</v>
      </c>
      <c r="B159" s="487"/>
      <c r="C159" s="487"/>
      <c r="D159" s="487"/>
      <c r="E159" s="487"/>
      <c r="F159" s="487"/>
      <c r="G159" s="487"/>
      <c r="H159" s="487"/>
      <c r="I159" s="487"/>
      <c r="J159" s="487"/>
      <c r="K159" s="487"/>
      <c r="L159" s="487"/>
      <c r="M159" s="487"/>
      <c r="N159" s="487"/>
      <c r="O159" s="487"/>
      <c r="P159" s="487"/>
      <c r="Q159" s="487"/>
      <c r="R159" s="487"/>
    </row>
    <row r="162" ht="13.5">
      <c r="B162" s="1" t="s">
        <v>51</v>
      </c>
    </row>
    <row r="164" ht="13.5">
      <c r="B164" s="1" t="s">
        <v>52</v>
      </c>
    </row>
    <row r="166" spans="1:18" ht="42.75" customHeight="1">
      <c r="A166" s="7" t="s">
        <v>53</v>
      </c>
      <c r="B166" s="460" t="s">
        <v>54</v>
      </c>
      <c r="C166" s="460"/>
      <c r="D166" s="461" t="s">
        <v>66</v>
      </c>
      <c r="E166" s="462"/>
      <c r="F166" s="460" t="s">
        <v>55</v>
      </c>
      <c r="G166" s="460"/>
      <c r="H166" s="460"/>
      <c r="I166" s="460"/>
      <c r="J166" s="460"/>
      <c r="K166" s="460"/>
      <c r="L166" s="460"/>
      <c r="M166" s="460"/>
      <c r="N166" s="462" t="s">
        <v>56</v>
      </c>
      <c r="O166" s="462"/>
      <c r="P166" s="462"/>
      <c r="Q166" s="462"/>
      <c r="R166" s="463"/>
    </row>
    <row r="167" spans="1:18" ht="27.75" customHeight="1">
      <c r="A167" s="507" t="s">
        <v>57</v>
      </c>
      <c r="B167" s="508"/>
      <c r="C167" s="508"/>
      <c r="D167" s="508"/>
      <c r="E167" s="509"/>
      <c r="F167" s="501" t="s">
        <v>58</v>
      </c>
      <c r="G167" s="502"/>
      <c r="H167" s="501" t="s">
        <v>59</v>
      </c>
      <c r="I167" s="502"/>
      <c r="J167" s="499" t="s">
        <v>60</v>
      </c>
      <c r="K167" s="500"/>
      <c r="L167" s="501" t="s">
        <v>61</v>
      </c>
      <c r="M167" s="502"/>
      <c r="N167" s="501" t="s">
        <v>58</v>
      </c>
      <c r="O167" s="502"/>
      <c r="P167" s="6" t="s">
        <v>59</v>
      </c>
      <c r="Q167" s="6" t="s">
        <v>60</v>
      </c>
      <c r="R167" s="10" t="s">
        <v>61</v>
      </c>
    </row>
    <row r="168" spans="1:18" ht="21.75" customHeight="1">
      <c r="A168" s="27">
        <v>1</v>
      </c>
      <c r="B168" s="497" t="s">
        <v>414</v>
      </c>
      <c r="C168" s="498"/>
      <c r="D168" s="460"/>
      <c r="E168" s="460"/>
      <c r="F168" s="503" t="s">
        <v>115</v>
      </c>
      <c r="G168" s="504"/>
      <c r="H168" s="505" t="s">
        <v>115</v>
      </c>
      <c r="I168" s="506"/>
      <c r="J168" s="516" t="s">
        <v>115</v>
      </c>
      <c r="K168" s="517"/>
      <c r="L168" s="505" t="s">
        <v>115</v>
      </c>
      <c r="M168" s="506"/>
      <c r="N168" s="462"/>
      <c r="O168" s="463"/>
      <c r="P168" s="6"/>
      <c r="Q168" s="6"/>
      <c r="R168" s="10"/>
    </row>
    <row r="169" spans="1:18" ht="48.75" customHeight="1">
      <c r="A169" s="5">
        <v>2</v>
      </c>
      <c r="B169" s="497" t="s">
        <v>416</v>
      </c>
      <c r="C169" s="498"/>
      <c r="D169" s="514"/>
      <c r="E169" s="515"/>
      <c r="F169" s="495" t="s">
        <v>415</v>
      </c>
      <c r="G169" s="496"/>
      <c r="H169" s="495" t="s">
        <v>415</v>
      </c>
      <c r="I169" s="496"/>
      <c r="J169" s="495" t="s">
        <v>415</v>
      </c>
      <c r="K169" s="496"/>
      <c r="L169" s="495" t="s">
        <v>415</v>
      </c>
      <c r="M169" s="496"/>
      <c r="N169" s="513"/>
      <c r="O169" s="513"/>
      <c r="P169" s="5"/>
      <c r="Q169" s="5"/>
      <c r="R169" s="28"/>
    </row>
    <row r="170" spans="1:18" ht="71.25" customHeight="1">
      <c r="A170" s="27">
        <v>3</v>
      </c>
      <c r="B170" s="497" t="s">
        <v>418</v>
      </c>
      <c r="C170" s="498"/>
      <c r="D170" s="483"/>
      <c r="E170" s="484"/>
      <c r="F170" s="495" t="s">
        <v>417</v>
      </c>
      <c r="G170" s="496"/>
      <c r="H170" s="495" t="s">
        <v>417</v>
      </c>
      <c r="I170" s="496"/>
      <c r="J170" s="495" t="s">
        <v>417</v>
      </c>
      <c r="K170" s="496"/>
      <c r="L170" s="495" t="s">
        <v>417</v>
      </c>
      <c r="M170" s="496"/>
      <c r="N170" s="519"/>
      <c r="O170" s="519"/>
      <c r="P170" s="16"/>
      <c r="Q170" s="16"/>
      <c r="R170" s="4"/>
    </row>
    <row r="171" spans="1:18" ht="51" customHeight="1">
      <c r="A171" s="5">
        <v>4</v>
      </c>
      <c r="B171" s="497" t="s">
        <v>420</v>
      </c>
      <c r="C171" s="498"/>
      <c r="D171" s="518"/>
      <c r="E171" s="518"/>
      <c r="F171" s="495" t="s">
        <v>419</v>
      </c>
      <c r="G171" s="496"/>
      <c r="H171" s="495" t="s">
        <v>419</v>
      </c>
      <c r="I171" s="496"/>
      <c r="J171" s="495" t="s">
        <v>419</v>
      </c>
      <c r="K171" s="496"/>
      <c r="L171" s="495" t="s">
        <v>419</v>
      </c>
      <c r="M171" s="496"/>
      <c r="N171" s="518"/>
      <c r="O171" s="518"/>
      <c r="P171" s="4"/>
      <c r="Q171" s="4"/>
      <c r="R171" s="4"/>
    </row>
    <row r="172" spans="1:18" ht="28.5" customHeight="1">
      <c r="A172" s="27">
        <v>5</v>
      </c>
      <c r="B172" s="497" t="s">
        <v>422</v>
      </c>
      <c r="C172" s="498"/>
      <c r="D172" s="522"/>
      <c r="E172" s="522"/>
      <c r="F172" s="523" t="s">
        <v>421</v>
      </c>
      <c r="G172" s="524"/>
      <c r="H172" s="523" t="s">
        <v>421</v>
      </c>
      <c r="I172" s="524"/>
      <c r="J172" s="523" t="s">
        <v>421</v>
      </c>
      <c r="K172" s="524"/>
      <c r="L172" s="523" t="s">
        <v>421</v>
      </c>
      <c r="M172" s="524"/>
      <c r="N172" s="522"/>
      <c r="O172" s="522"/>
      <c r="P172" s="4"/>
      <c r="Q172" s="4"/>
      <c r="R172" s="4"/>
    </row>
    <row r="173" spans="6:13" ht="15" customHeight="1" hidden="1">
      <c r="F173" s="520">
        <v>1</v>
      </c>
      <c r="G173" s="521"/>
      <c r="H173" s="520">
        <v>1</v>
      </c>
      <c r="I173" s="521"/>
      <c r="J173" s="520">
        <v>1</v>
      </c>
      <c r="K173" s="521"/>
      <c r="L173" s="520">
        <v>1</v>
      </c>
      <c r="M173" s="521"/>
    </row>
    <row r="174" ht="13.5" hidden="1">
      <c r="A174" s="17"/>
    </row>
    <row r="175" spans="1:18" ht="30.75" customHeight="1">
      <c r="A175" s="487" t="s">
        <v>40</v>
      </c>
      <c r="B175" s="487"/>
      <c r="C175" s="487"/>
      <c r="D175" s="487"/>
      <c r="E175" s="487"/>
      <c r="F175" s="487"/>
      <c r="G175" s="487"/>
      <c r="H175" s="487"/>
      <c r="I175" s="487"/>
      <c r="J175" s="487"/>
      <c r="K175" s="487"/>
      <c r="L175" s="487"/>
      <c r="M175" s="487"/>
      <c r="N175" s="487"/>
      <c r="O175" s="487"/>
      <c r="P175" s="487"/>
      <c r="Q175" s="487"/>
      <c r="R175" s="487"/>
    </row>
    <row r="177" ht="13.5" hidden="1"/>
    <row r="178" ht="13.5">
      <c r="B178" s="1" t="s">
        <v>62</v>
      </c>
    </row>
    <row r="180" spans="1:18" ht="26.25" customHeight="1">
      <c r="A180" s="7" t="s">
        <v>53</v>
      </c>
      <c r="B180" s="461" t="s">
        <v>54</v>
      </c>
      <c r="C180" s="462"/>
      <c r="D180" s="463"/>
      <c r="E180" s="461" t="s">
        <v>66</v>
      </c>
      <c r="F180" s="462"/>
      <c r="G180" s="462"/>
      <c r="H180" s="463"/>
      <c r="I180" s="518" t="s">
        <v>55</v>
      </c>
      <c r="J180" s="518"/>
      <c r="K180" s="518"/>
      <c r="L180" s="518"/>
      <c r="M180" s="518"/>
      <c r="N180" s="518" t="s">
        <v>56</v>
      </c>
      <c r="O180" s="518"/>
      <c r="P180" s="518"/>
      <c r="Q180" s="518"/>
      <c r="R180" s="17"/>
    </row>
    <row r="181" spans="1:17" ht="36.75" customHeight="1">
      <c r="A181" s="4">
        <v>1</v>
      </c>
      <c r="B181" s="525" t="s">
        <v>109</v>
      </c>
      <c r="C181" s="429"/>
      <c r="D181" s="430"/>
      <c r="E181" s="526"/>
      <c r="F181" s="527"/>
      <c r="G181" s="527"/>
      <c r="H181" s="528"/>
      <c r="I181" s="529" t="s">
        <v>110</v>
      </c>
      <c r="J181" s="530"/>
      <c r="K181" s="530"/>
      <c r="L181" s="530"/>
      <c r="M181" s="531"/>
      <c r="N181" s="526"/>
      <c r="O181" s="527"/>
      <c r="P181" s="527"/>
      <c r="Q181" s="528"/>
    </row>
    <row r="182" spans="1:17" ht="36" customHeight="1">
      <c r="A182" s="4">
        <v>2</v>
      </c>
      <c r="B182" s="525" t="s">
        <v>111</v>
      </c>
      <c r="C182" s="429"/>
      <c r="D182" s="430"/>
      <c r="E182" s="526"/>
      <c r="F182" s="527"/>
      <c r="G182" s="527"/>
      <c r="H182" s="528"/>
      <c r="I182" s="529" t="s">
        <v>112</v>
      </c>
      <c r="J182" s="530"/>
      <c r="K182" s="530"/>
      <c r="L182" s="530"/>
      <c r="M182" s="531"/>
      <c r="N182" s="526"/>
      <c r="O182" s="527"/>
      <c r="P182" s="527"/>
      <c r="Q182" s="528"/>
    </row>
    <row r="183" spans="1:17" ht="24.75" customHeight="1">
      <c r="A183" s="4">
        <v>3</v>
      </c>
      <c r="B183" s="525" t="s">
        <v>113</v>
      </c>
      <c r="C183" s="429"/>
      <c r="D183" s="430"/>
      <c r="E183" s="526"/>
      <c r="F183" s="527"/>
      <c r="G183" s="527"/>
      <c r="H183" s="528"/>
      <c r="I183" s="529" t="s">
        <v>114</v>
      </c>
      <c r="J183" s="530"/>
      <c r="K183" s="530"/>
      <c r="L183" s="530"/>
      <c r="M183" s="531"/>
      <c r="N183" s="526"/>
      <c r="O183" s="527"/>
      <c r="P183" s="527"/>
      <c r="Q183" s="528"/>
    </row>
    <row r="184" spans="1:17" ht="57.75" customHeight="1">
      <c r="A184" s="4">
        <v>4</v>
      </c>
      <c r="B184" s="525" t="s">
        <v>116</v>
      </c>
      <c r="C184" s="429"/>
      <c r="D184" s="430"/>
      <c r="E184" s="526"/>
      <c r="F184" s="527"/>
      <c r="G184" s="527"/>
      <c r="H184" s="528"/>
      <c r="I184" s="529" t="s">
        <v>117</v>
      </c>
      <c r="J184" s="530"/>
      <c r="K184" s="530"/>
      <c r="L184" s="530"/>
      <c r="M184" s="531"/>
      <c r="N184" s="526"/>
      <c r="O184" s="527"/>
      <c r="P184" s="527"/>
      <c r="Q184" s="528"/>
    </row>
    <row r="185" ht="14.25" thickBot="1"/>
    <row r="186" spans="1:2" ht="13.5">
      <c r="A186" s="12" t="s">
        <v>67</v>
      </c>
      <c r="B186" s="13" t="s">
        <v>68</v>
      </c>
    </row>
    <row r="188" spans="1:18" ht="30.75" customHeight="1">
      <c r="A188" s="487" t="s">
        <v>40</v>
      </c>
      <c r="B188" s="487"/>
      <c r="C188" s="487"/>
      <c r="D188" s="487"/>
      <c r="E188" s="487"/>
      <c r="F188" s="487"/>
      <c r="G188" s="487"/>
      <c r="H188" s="487"/>
      <c r="I188" s="487"/>
      <c r="J188" s="487"/>
      <c r="K188" s="487"/>
      <c r="L188" s="487"/>
      <c r="M188" s="487"/>
      <c r="N188" s="487"/>
      <c r="O188" s="487"/>
      <c r="P188" s="487"/>
      <c r="Q188" s="487"/>
      <c r="R188" s="487"/>
    </row>
    <row r="191" ht="13.5">
      <c r="B191" s="1" t="s">
        <v>69</v>
      </c>
    </row>
    <row r="193" spans="1:17" ht="30" customHeight="1">
      <c r="A193" s="6" t="s">
        <v>53</v>
      </c>
      <c r="B193" s="532" t="s">
        <v>70</v>
      </c>
      <c r="C193" s="533"/>
      <c r="D193" s="534"/>
      <c r="E193" s="535" t="s">
        <v>71</v>
      </c>
      <c r="F193" s="536"/>
      <c r="G193" s="536"/>
      <c r="H193" s="537"/>
      <c r="I193" s="538" t="s">
        <v>383</v>
      </c>
      <c r="J193" s="539"/>
      <c r="K193" s="539"/>
      <c r="L193" s="539"/>
      <c r="M193" s="539"/>
      <c r="N193" s="539" t="s">
        <v>72</v>
      </c>
      <c r="O193" s="539"/>
      <c r="P193" s="539"/>
      <c r="Q193" s="539"/>
    </row>
    <row r="194" spans="1:17" ht="70.5" customHeight="1">
      <c r="A194" s="4">
        <v>1</v>
      </c>
      <c r="B194" s="525" t="s">
        <v>108</v>
      </c>
      <c r="C194" s="429"/>
      <c r="D194" s="430"/>
      <c r="E194" s="526">
        <v>2015</v>
      </c>
      <c r="F194" s="527"/>
      <c r="G194" s="527"/>
      <c r="H194" s="528"/>
      <c r="I194" s="540">
        <f>P85+P132</f>
        <v>48192369.730000004</v>
      </c>
      <c r="J194" s="541"/>
      <c r="K194" s="541"/>
      <c r="L194" s="541"/>
      <c r="M194" s="542"/>
      <c r="N194" s="526">
        <f>P67</f>
        <v>1290</v>
      </c>
      <c r="O194" s="527"/>
      <c r="P194" s="527"/>
      <c r="Q194" s="528"/>
    </row>
    <row r="195" spans="1:17" ht="15" customHeight="1" hidden="1">
      <c r="A195" s="4"/>
      <c r="B195" s="526"/>
      <c r="C195" s="527"/>
      <c r="D195" s="528"/>
      <c r="E195" s="526"/>
      <c r="F195" s="527"/>
      <c r="G195" s="527"/>
      <c r="H195" s="528"/>
      <c r="I195" s="526"/>
      <c r="J195" s="527"/>
      <c r="K195" s="527"/>
      <c r="L195" s="527"/>
      <c r="M195" s="528"/>
      <c r="N195" s="526"/>
      <c r="O195" s="527"/>
      <c r="P195" s="527"/>
      <c r="Q195" s="528"/>
    </row>
    <row r="196" spans="1:17" ht="15" customHeight="1" hidden="1">
      <c r="A196" s="4"/>
      <c r="B196" s="526"/>
      <c r="C196" s="527"/>
      <c r="D196" s="528"/>
      <c r="E196" s="526"/>
      <c r="F196" s="527"/>
      <c r="G196" s="527"/>
      <c r="H196" s="528"/>
      <c r="I196" s="526"/>
      <c r="J196" s="527"/>
      <c r="K196" s="527"/>
      <c r="L196" s="527"/>
      <c r="M196" s="528"/>
      <c r="N196" s="526"/>
      <c r="O196" s="527"/>
      <c r="P196" s="527"/>
      <c r="Q196" s="528"/>
    </row>
    <row r="197" ht="14.25" thickBot="1"/>
    <row r="198" spans="1:18" ht="15" customHeight="1">
      <c r="A198" s="18" t="s">
        <v>73</v>
      </c>
      <c r="B198" s="20" t="s">
        <v>74</v>
      </c>
      <c r="C198" s="19"/>
      <c r="D198" s="19"/>
      <c r="E198" s="19"/>
      <c r="F198" s="19"/>
      <c r="G198" s="19"/>
      <c r="H198" s="19"/>
      <c r="I198" s="19"/>
      <c r="J198" s="360"/>
      <c r="K198" s="360"/>
      <c r="L198" s="360"/>
      <c r="M198" s="19"/>
      <c r="N198" s="19"/>
      <c r="O198" s="19"/>
      <c r="P198" s="19"/>
      <c r="Q198" s="19"/>
      <c r="R198" s="19"/>
    </row>
    <row r="199" ht="13.5" customHeight="1">
      <c r="A199" s="1" t="s">
        <v>75</v>
      </c>
    </row>
    <row r="200" ht="14.25" customHeight="1">
      <c r="A200" s="1" t="s">
        <v>76</v>
      </c>
    </row>
    <row r="203" ht="13.5">
      <c r="B203" s="1" t="s">
        <v>77</v>
      </c>
    </row>
    <row r="205" spans="1:18" ht="15" customHeight="1">
      <c r="A205" s="545" t="s">
        <v>161</v>
      </c>
      <c r="B205" s="546"/>
      <c r="C205" s="546"/>
      <c r="D205" s="546"/>
      <c r="E205" s="546"/>
      <c r="F205" s="546"/>
      <c r="G205" s="546"/>
      <c r="H205" s="546"/>
      <c r="I205" s="546"/>
      <c r="J205" s="546"/>
      <c r="K205" s="546"/>
      <c r="L205" s="546"/>
      <c r="M205" s="546"/>
      <c r="N205" s="546"/>
      <c r="O205" s="546"/>
      <c r="P205" s="546"/>
      <c r="Q205" s="547"/>
      <c r="R205" s="21"/>
    </row>
    <row r="208" ht="13.5">
      <c r="B208" s="1" t="s">
        <v>78</v>
      </c>
    </row>
    <row r="210" spans="1:17" ht="13.5">
      <c r="A210" s="526">
        <f>ROUND(P85/P67,2)</f>
        <v>34251.74</v>
      </c>
      <c r="B210" s="527"/>
      <c r="C210" s="527"/>
      <c r="D210" s="527"/>
      <c r="E210" s="527"/>
      <c r="F210" s="527"/>
      <c r="G210" s="527"/>
      <c r="H210" s="527"/>
      <c r="I210" s="527"/>
      <c r="J210" s="527"/>
      <c r="K210" s="527"/>
      <c r="L210" s="527"/>
      <c r="M210" s="527"/>
      <c r="N210" s="527"/>
      <c r="O210" s="527"/>
      <c r="P210" s="527"/>
      <c r="Q210" s="528"/>
    </row>
    <row r="213" ht="13.5">
      <c r="B213" s="1" t="s">
        <v>79</v>
      </c>
    </row>
    <row r="215" spans="1:17" ht="30.75" customHeight="1">
      <c r="A215" s="549" t="s">
        <v>393</v>
      </c>
      <c r="B215" s="550"/>
      <c r="C215" s="550"/>
      <c r="D215" s="550"/>
      <c r="E215" s="550"/>
      <c r="F215" s="550"/>
      <c r="G215" s="550"/>
      <c r="H215" s="550"/>
      <c r="I215" s="550"/>
      <c r="J215" s="550"/>
      <c r="K215" s="550"/>
      <c r="L215" s="550"/>
      <c r="M215" s="550"/>
      <c r="N215" s="550"/>
      <c r="O215" s="550"/>
      <c r="P215" s="550"/>
      <c r="Q215" s="551"/>
    </row>
    <row r="218" ht="13.5">
      <c r="B218" s="1" t="s">
        <v>80</v>
      </c>
    </row>
    <row r="219" ht="9" customHeight="1"/>
    <row r="220" spans="1:17" ht="86.25" customHeight="1">
      <c r="A220" s="552" t="s">
        <v>391</v>
      </c>
      <c r="B220" s="429"/>
      <c r="C220" s="429"/>
      <c r="D220" s="429"/>
      <c r="E220" s="429"/>
      <c r="F220" s="429"/>
      <c r="G220" s="429"/>
      <c r="H220" s="429"/>
      <c r="I220" s="429"/>
      <c r="J220" s="429"/>
      <c r="K220" s="429"/>
      <c r="L220" s="429"/>
      <c r="M220" s="429"/>
      <c r="N220" s="429"/>
      <c r="O220" s="429"/>
      <c r="P220" s="429"/>
      <c r="Q220" s="430"/>
    </row>
    <row r="221" spans="1:17" ht="13.5">
      <c r="A221" s="33"/>
      <c r="B221" s="33"/>
      <c r="C221" s="33"/>
      <c r="D221" s="33"/>
      <c r="E221" s="33"/>
      <c r="F221" s="33"/>
      <c r="G221" s="33"/>
      <c r="H221" s="33"/>
      <c r="I221" s="33"/>
      <c r="J221" s="361"/>
      <c r="K221" s="361"/>
      <c r="L221" s="361"/>
      <c r="M221" s="33"/>
      <c r="N221" s="33"/>
      <c r="O221" s="33"/>
      <c r="P221" s="33"/>
      <c r="Q221" s="33"/>
    </row>
    <row r="222" spans="1:17" ht="13.5">
      <c r="A222" s="33"/>
      <c r="B222" s="33" t="s">
        <v>81</v>
      </c>
      <c r="C222" s="33"/>
      <c r="D222" s="33"/>
      <c r="E222" s="33"/>
      <c r="F222" s="33"/>
      <c r="G222" s="33"/>
      <c r="H222" s="33"/>
      <c r="I222" s="33"/>
      <c r="J222" s="361"/>
      <c r="K222" s="361"/>
      <c r="L222" s="361"/>
      <c r="M222" s="33"/>
      <c r="N222" s="33"/>
      <c r="O222" s="33"/>
      <c r="P222" s="33"/>
      <c r="Q222" s="33"/>
    </row>
    <row r="223" spans="1:17" ht="13.5">
      <c r="A223" s="33"/>
      <c r="B223" s="33"/>
      <c r="C223" s="33"/>
      <c r="D223" s="33"/>
      <c r="E223" s="33"/>
      <c r="F223" s="33"/>
      <c r="G223" s="33"/>
      <c r="H223" s="33"/>
      <c r="I223" s="33"/>
      <c r="J223" s="361"/>
      <c r="K223" s="361"/>
      <c r="L223" s="361"/>
      <c r="M223" s="33"/>
      <c r="N223" s="33"/>
      <c r="O223" s="33"/>
      <c r="P223" s="33"/>
      <c r="Q223" s="33"/>
    </row>
    <row r="224" spans="1:17" ht="35.25" customHeight="1">
      <c r="A224" s="553" t="s">
        <v>94</v>
      </c>
      <c r="B224" s="554"/>
      <c r="C224" s="554"/>
      <c r="D224" s="554"/>
      <c r="E224" s="554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  <c r="Q224" s="555"/>
    </row>
    <row r="225" spans="1:17" ht="13.5">
      <c r="A225" s="34" t="s">
        <v>89</v>
      </c>
      <c r="B225" s="35"/>
      <c r="C225" s="35"/>
      <c r="D225" s="35"/>
      <c r="E225" s="35"/>
      <c r="F225" s="35"/>
      <c r="G225" s="35"/>
      <c r="H225" s="35"/>
      <c r="I225" s="35"/>
      <c r="J225" s="362"/>
      <c r="K225" s="362"/>
      <c r="L225" s="362"/>
      <c r="M225" s="35"/>
      <c r="N225" s="35"/>
      <c r="O225" s="35"/>
      <c r="P225" s="35"/>
      <c r="Q225" s="36"/>
    </row>
    <row r="226" spans="1:17" ht="24.75" customHeight="1">
      <c r="A226" s="556" t="s">
        <v>90</v>
      </c>
      <c r="B226" s="557"/>
      <c r="C226" s="557"/>
      <c r="D226" s="557"/>
      <c r="E226" s="557"/>
      <c r="F226" s="557"/>
      <c r="G226" s="557"/>
      <c r="H226" s="557"/>
      <c r="I226" s="557"/>
      <c r="J226" s="557"/>
      <c r="K226" s="557"/>
      <c r="L226" s="557"/>
      <c r="M226" s="557"/>
      <c r="N226" s="557"/>
      <c r="O226" s="557"/>
      <c r="P226" s="557"/>
      <c r="Q226" s="558"/>
    </row>
    <row r="227" spans="1:17" ht="13.5">
      <c r="A227" s="559" t="s">
        <v>91</v>
      </c>
      <c r="B227" s="560"/>
      <c r="C227" s="560"/>
      <c r="D227" s="560"/>
      <c r="E227" s="560"/>
      <c r="F227" s="560"/>
      <c r="G227" s="560"/>
      <c r="H227" s="560"/>
      <c r="I227" s="560"/>
      <c r="J227" s="560"/>
      <c r="K227" s="560"/>
      <c r="L227" s="560"/>
      <c r="M227" s="560"/>
      <c r="N227" s="560"/>
      <c r="O227" s="560"/>
      <c r="P227" s="560"/>
      <c r="Q227" s="561"/>
    </row>
    <row r="228" spans="1:17" ht="13.5">
      <c r="A228" s="37" t="s">
        <v>92</v>
      </c>
      <c r="B228" s="38"/>
      <c r="C228" s="38"/>
      <c r="D228" s="38"/>
      <c r="E228" s="38"/>
      <c r="F228" s="38"/>
      <c r="G228" s="38"/>
      <c r="H228" s="38"/>
      <c r="I228" s="38"/>
      <c r="J228" s="363"/>
      <c r="K228" s="363"/>
      <c r="L228" s="363"/>
      <c r="M228" s="38"/>
      <c r="N228" s="38"/>
      <c r="O228" s="38"/>
      <c r="P228" s="38"/>
      <c r="Q228" s="39"/>
    </row>
    <row r="229" spans="1:17" ht="13.5">
      <c r="A229" s="25" t="s">
        <v>93</v>
      </c>
      <c r="B229" s="22"/>
      <c r="C229" s="22"/>
      <c r="D229" s="22"/>
      <c r="E229" s="22"/>
      <c r="F229" s="22"/>
      <c r="G229" s="22"/>
      <c r="H229" s="22"/>
      <c r="I229" s="22"/>
      <c r="J229" s="364"/>
      <c r="K229" s="364"/>
      <c r="L229" s="364"/>
      <c r="M229" s="22"/>
      <c r="N229" s="22"/>
      <c r="O229" s="22"/>
      <c r="P229" s="22"/>
      <c r="Q229" s="26"/>
    </row>
    <row r="231" spans="2:14" ht="13.5">
      <c r="B231" s="438" t="s">
        <v>97</v>
      </c>
      <c r="C231" s="438"/>
      <c r="D231" s="438"/>
      <c r="E231" s="438"/>
      <c r="I231" s="22"/>
      <c r="J231" s="364"/>
      <c r="K231" s="543" t="s">
        <v>394</v>
      </c>
      <c r="L231" s="544"/>
      <c r="M231" s="544"/>
      <c r="N231" s="1" t="s">
        <v>84</v>
      </c>
    </row>
    <row r="233" spans="2:8" ht="13.5">
      <c r="B233" s="1" t="s">
        <v>82</v>
      </c>
      <c r="C233" s="22"/>
      <c r="E233" s="11" t="s">
        <v>83</v>
      </c>
      <c r="F233" s="22"/>
      <c r="G233" s="22"/>
      <c r="H233" s="22"/>
    </row>
    <row r="235" spans="2:14" ht="12.75" customHeight="1">
      <c r="B235" s="548" t="s">
        <v>402</v>
      </c>
      <c r="C235" s="487"/>
      <c r="D235" s="487"/>
      <c r="E235" s="487"/>
      <c r="I235" s="22"/>
      <c r="J235" s="364"/>
      <c r="K235" s="543" t="s">
        <v>395</v>
      </c>
      <c r="L235" s="544"/>
      <c r="M235" s="544"/>
      <c r="N235" s="1" t="s">
        <v>84</v>
      </c>
    </row>
    <row r="237" spans="2:8" ht="13.5">
      <c r="B237" s="1" t="s">
        <v>82</v>
      </c>
      <c r="C237" s="22"/>
      <c r="E237" s="11" t="s">
        <v>83</v>
      </c>
      <c r="F237" s="22"/>
      <c r="G237" s="22"/>
      <c r="H237" s="22"/>
    </row>
  </sheetData>
  <sheetProtection/>
  <mergeCells count="280">
    <mergeCell ref="B169:C169"/>
    <mergeCell ref="B170:C170"/>
    <mergeCell ref="B171:C171"/>
    <mergeCell ref="B172:C172"/>
    <mergeCell ref="A144:C144"/>
    <mergeCell ref="P144:Q144"/>
    <mergeCell ref="H170:I170"/>
    <mergeCell ref="N172:O172"/>
    <mergeCell ref="D171:E171"/>
    <mergeCell ref="F171:G171"/>
    <mergeCell ref="B235:E235"/>
    <mergeCell ref="K235:M235"/>
    <mergeCell ref="A215:Q215"/>
    <mergeCell ref="A220:Q220"/>
    <mergeCell ref="A224:Q224"/>
    <mergeCell ref="A226:Q226"/>
    <mergeCell ref="A227:Q227"/>
    <mergeCell ref="B231:E231"/>
    <mergeCell ref="B196:D196"/>
    <mergeCell ref="E196:H196"/>
    <mergeCell ref="I196:M196"/>
    <mergeCell ref="K231:M231"/>
    <mergeCell ref="A205:Q205"/>
    <mergeCell ref="A210:Q210"/>
    <mergeCell ref="N196:Q196"/>
    <mergeCell ref="B194:D194"/>
    <mergeCell ref="E194:H194"/>
    <mergeCell ref="I194:M194"/>
    <mergeCell ref="N194:Q194"/>
    <mergeCell ref="B195:D195"/>
    <mergeCell ref="E195:H195"/>
    <mergeCell ref="I195:M195"/>
    <mergeCell ref="N195:Q195"/>
    <mergeCell ref="B184:D184"/>
    <mergeCell ref="E184:H184"/>
    <mergeCell ref="I184:M184"/>
    <mergeCell ref="N184:Q184"/>
    <mergeCell ref="A188:R188"/>
    <mergeCell ref="B193:D193"/>
    <mergeCell ref="E193:H193"/>
    <mergeCell ref="I193:M193"/>
    <mergeCell ref="N193:Q193"/>
    <mergeCell ref="B182:D182"/>
    <mergeCell ref="E182:H182"/>
    <mergeCell ref="I182:M182"/>
    <mergeCell ref="N182:Q182"/>
    <mergeCell ref="B183:D183"/>
    <mergeCell ref="E183:H183"/>
    <mergeCell ref="I183:M183"/>
    <mergeCell ref="N183:Q183"/>
    <mergeCell ref="A175:R175"/>
    <mergeCell ref="B180:D180"/>
    <mergeCell ref="E180:H180"/>
    <mergeCell ref="I180:M180"/>
    <mergeCell ref="N180:Q180"/>
    <mergeCell ref="B181:D181"/>
    <mergeCell ref="E181:H181"/>
    <mergeCell ref="I181:M181"/>
    <mergeCell ref="N181:Q181"/>
    <mergeCell ref="F173:G173"/>
    <mergeCell ref="H173:I173"/>
    <mergeCell ref="J173:K173"/>
    <mergeCell ref="L173:M173"/>
    <mergeCell ref="D172:E172"/>
    <mergeCell ref="F172:G172"/>
    <mergeCell ref="H172:I172"/>
    <mergeCell ref="J172:K172"/>
    <mergeCell ref="L172:M172"/>
    <mergeCell ref="H171:I171"/>
    <mergeCell ref="J171:K171"/>
    <mergeCell ref="L171:M171"/>
    <mergeCell ref="N171:O171"/>
    <mergeCell ref="J170:K170"/>
    <mergeCell ref="L170:M170"/>
    <mergeCell ref="N170:O170"/>
    <mergeCell ref="L169:M169"/>
    <mergeCell ref="N169:O169"/>
    <mergeCell ref="D169:E169"/>
    <mergeCell ref="D170:E170"/>
    <mergeCell ref="F170:G170"/>
    <mergeCell ref="L167:M167"/>
    <mergeCell ref="N167:O167"/>
    <mergeCell ref="J168:K168"/>
    <mergeCell ref="L168:M168"/>
    <mergeCell ref="N168:O168"/>
    <mergeCell ref="F167:G167"/>
    <mergeCell ref="A151:C151"/>
    <mergeCell ref="A152:C152"/>
    <mergeCell ref="A153:C153"/>
    <mergeCell ref="A154:C154"/>
    <mergeCell ref="A159:R159"/>
    <mergeCell ref="B166:C166"/>
    <mergeCell ref="D166:E166"/>
    <mergeCell ref="F166:M166"/>
    <mergeCell ref="N166:R166"/>
    <mergeCell ref="F169:G169"/>
    <mergeCell ref="H169:I169"/>
    <mergeCell ref="J169:K169"/>
    <mergeCell ref="B168:C168"/>
    <mergeCell ref="J167:K167"/>
    <mergeCell ref="H167:I167"/>
    <mergeCell ref="D168:E168"/>
    <mergeCell ref="F168:G168"/>
    <mergeCell ref="H168:I168"/>
    <mergeCell ref="A167:E167"/>
    <mergeCell ref="P140:Q140"/>
    <mergeCell ref="A141:C141"/>
    <mergeCell ref="P141:Q141"/>
    <mergeCell ref="P154:Q154"/>
    <mergeCell ref="A155:C155"/>
    <mergeCell ref="P155:Q155"/>
    <mergeCell ref="A142:C142"/>
    <mergeCell ref="P142:Q142"/>
    <mergeCell ref="A143:C143"/>
    <mergeCell ref="P143:Q143"/>
    <mergeCell ref="P136:Q136"/>
    <mergeCell ref="A137:C137"/>
    <mergeCell ref="P137:Q137"/>
    <mergeCell ref="A138:C138"/>
    <mergeCell ref="P138:Q138"/>
    <mergeCell ref="P139:Q139"/>
    <mergeCell ref="P132:Q132"/>
    <mergeCell ref="A133:C133"/>
    <mergeCell ref="P133:Q133"/>
    <mergeCell ref="A135:C135"/>
    <mergeCell ref="P135:Q135"/>
    <mergeCell ref="A134:C134"/>
    <mergeCell ref="P134:Q134"/>
    <mergeCell ref="P120:Q120"/>
    <mergeCell ref="A121:C121"/>
    <mergeCell ref="P121:Q121"/>
    <mergeCell ref="A125:R125"/>
    <mergeCell ref="A130:C131"/>
    <mergeCell ref="D130:O130"/>
    <mergeCell ref="P130:Q131"/>
    <mergeCell ref="P106:Q106"/>
    <mergeCell ref="P107:Q107"/>
    <mergeCell ref="A108:B108"/>
    <mergeCell ref="P108:Q108"/>
    <mergeCell ref="A113:R113"/>
    <mergeCell ref="A118:C119"/>
    <mergeCell ref="D118:O118"/>
    <mergeCell ref="P118:Q119"/>
    <mergeCell ref="P100:Q100"/>
    <mergeCell ref="P101:Q101"/>
    <mergeCell ref="A102:B103"/>
    <mergeCell ref="P102:Q102"/>
    <mergeCell ref="P103:Q103"/>
    <mergeCell ref="A104:B105"/>
    <mergeCell ref="P104:Q104"/>
    <mergeCell ref="P105:Q105"/>
    <mergeCell ref="A90:R90"/>
    <mergeCell ref="A94:B95"/>
    <mergeCell ref="C94:C95"/>
    <mergeCell ref="D94:O94"/>
    <mergeCell ref="P94:Q95"/>
    <mergeCell ref="A96:B97"/>
    <mergeCell ref="P96:Q96"/>
    <mergeCell ref="P97:Q97"/>
    <mergeCell ref="A76:R76"/>
    <mergeCell ref="A83:C84"/>
    <mergeCell ref="D83:O83"/>
    <mergeCell ref="P83:Q84"/>
    <mergeCell ref="A85:C85"/>
    <mergeCell ref="P85:Q85"/>
    <mergeCell ref="D56:E56"/>
    <mergeCell ref="F56:G56"/>
    <mergeCell ref="P68:Q68"/>
    <mergeCell ref="A69:C69"/>
    <mergeCell ref="P69:Q69"/>
    <mergeCell ref="A70:C70"/>
    <mergeCell ref="P70:Q70"/>
    <mergeCell ref="A68:C68"/>
    <mergeCell ref="D53:E53"/>
    <mergeCell ref="F53:G53"/>
    <mergeCell ref="C40:C61"/>
    <mergeCell ref="D43:E43"/>
    <mergeCell ref="A65:C66"/>
    <mergeCell ref="D65:O65"/>
    <mergeCell ref="D57:E57"/>
    <mergeCell ref="F57:G57"/>
    <mergeCell ref="D58:E58"/>
    <mergeCell ref="F58:G58"/>
    <mergeCell ref="D52:E52"/>
    <mergeCell ref="F52:G52"/>
    <mergeCell ref="P65:Q66"/>
    <mergeCell ref="A67:C67"/>
    <mergeCell ref="P67:Q67"/>
    <mergeCell ref="D59:E59"/>
    <mergeCell ref="F59:G59"/>
    <mergeCell ref="D60:E60"/>
    <mergeCell ref="F60:G60"/>
    <mergeCell ref="A40:B61"/>
    <mergeCell ref="D49:E49"/>
    <mergeCell ref="F49:G49"/>
    <mergeCell ref="D54:E54"/>
    <mergeCell ref="F54:G54"/>
    <mergeCell ref="D55:E55"/>
    <mergeCell ref="F55:G55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0:E40"/>
    <mergeCell ref="F40:G40"/>
    <mergeCell ref="D45:E45"/>
    <mergeCell ref="F45:G45"/>
    <mergeCell ref="F43:G43"/>
    <mergeCell ref="D44:E44"/>
    <mergeCell ref="F44:G44"/>
    <mergeCell ref="L40:M40"/>
    <mergeCell ref="N40:O40"/>
    <mergeCell ref="D41:E41"/>
    <mergeCell ref="F41:G41"/>
    <mergeCell ref="H40:I40"/>
    <mergeCell ref="J40:K40"/>
    <mergeCell ref="D39:E39"/>
    <mergeCell ref="F39:G39"/>
    <mergeCell ref="H39:I39"/>
    <mergeCell ref="J39:K39"/>
    <mergeCell ref="L39:M39"/>
    <mergeCell ref="N39:O39"/>
    <mergeCell ref="P22:P32"/>
    <mergeCell ref="Q22:R32"/>
    <mergeCell ref="A37:B39"/>
    <mergeCell ref="C37:C39"/>
    <mergeCell ref="D37:R37"/>
    <mergeCell ref="D38:I38"/>
    <mergeCell ref="J38:O38"/>
    <mergeCell ref="F22:G32"/>
    <mergeCell ref="H22:I32"/>
    <mergeCell ref="P38:R38"/>
    <mergeCell ref="L21:M21"/>
    <mergeCell ref="N21:O21"/>
    <mergeCell ref="Q21:R21"/>
    <mergeCell ref="J22:K32"/>
    <mergeCell ref="L22:M32"/>
    <mergeCell ref="A22:A32"/>
    <mergeCell ref="B22:B32"/>
    <mergeCell ref="C22:C32"/>
    <mergeCell ref="D22:E32"/>
    <mergeCell ref="N22:O32"/>
    <mergeCell ref="A145:C145"/>
    <mergeCell ref="P98:Q98"/>
    <mergeCell ref="P99:Q99"/>
    <mergeCell ref="A12:R12"/>
    <mergeCell ref="A13:R13"/>
    <mergeCell ref="A14:R14"/>
    <mergeCell ref="D21:E21"/>
    <mergeCell ref="F21:G21"/>
    <mergeCell ref="H21:I21"/>
    <mergeCell ref="J21:K21"/>
    <mergeCell ref="P152:Q152"/>
    <mergeCell ref="A149:C149"/>
    <mergeCell ref="A98:B99"/>
    <mergeCell ref="A100:B101"/>
    <mergeCell ref="A106:B107"/>
    <mergeCell ref="A120:C120"/>
    <mergeCell ref="A132:C132"/>
    <mergeCell ref="A136:C136"/>
    <mergeCell ref="A147:C147"/>
    <mergeCell ref="A139:C139"/>
    <mergeCell ref="P145:Q145"/>
    <mergeCell ref="A150:C150"/>
    <mergeCell ref="A140:C140"/>
    <mergeCell ref="P153:Q153"/>
    <mergeCell ref="A146:Q146"/>
    <mergeCell ref="A148:Q148"/>
    <mergeCell ref="P147:Q147"/>
    <mergeCell ref="P149:Q149"/>
    <mergeCell ref="P150:Q150"/>
    <mergeCell ref="P151:Q151"/>
  </mergeCells>
  <printOptions/>
  <pageMargins left="0" right="0" top="0.16" bottom="0" header="0.15748031496062992" footer="0.15748031496062992"/>
  <pageSetup horizontalDpi="600" verticalDpi="600" orientation="landscape" paperSize="9" r:id="rId1"/>
  <rowBreaks count="9" manualBreakCount="9">
    <brk id="22" max="17" man="1"/>
    <brk id="34" max="17" man="1"/>
    <brk id="62" max="17" man="1"/>
    <brk id="84" max="17" man="1"/>
    <brk id="101" max="17" man="1"/>
    <brk id="120" max="17" man="1"/>
    <brk id="136" max="17" man="1"/>
    <brk id="178" max="17" man="1"/>
    <brk id="20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9"/>
  <sheetViews>
    <sheetView view="pageBreakPreview" zoomScaleSheetLayoutView="100" zoomScalePageLayoutView="0" workbookViewId="0" topLeftCell="A7">
      <selection activeCell="R16" sqref="R16"/>
    </sheetView>
  </sheetViews>
  <sheetFormatPr defaultColWidth="9.140625" defaultRowHeight="15"/>
  <cols>
    <col min="1" max="1" width="9.140625" style="294" customWidth="1"/>
    <col min="2" max="2" width="52.28125" style="294" customWidth="1"/>
    <col min="3" max="3" width="15.8515625" style="294" customWidth="1"/>
    <col min="4" max="4" width="18.57421875" style="294" customWidth="1"/>
    <col min="5" max="5" width="17.28125" style="294" customWidth="1"/>
    <col min="6" max="6" width="15.28125" style="294" customWidth="1"/>
    <col min="7" max="7" width="15.140625" style="294" customWidth="1"/>
    <col min="8" max="8" width="14.57421875" style="294" customWidth="1"/>
    <col min="9" max="9" width="9.140625" style="294" customWidth="1"/>
    <col min="10" max="10" width="11.7109375" style="294" customWidth="1"/>
    <col min="11" max="11" width="12.140625" style="294" customWidth="1"/>
    <col min="12" max="12" width="11.7109375" style="294" customWidth="1"/>
    <col min="13" max="16384" width="9.140625" style="294" customWidth="1"/>
  </cols>
  <sheetData>
    <row r="1" ht="11.25" customHeight="1">
      <c r="G1" s="295" t="s">
        <v>340</v>
      </c>
    </row>
    <row r="2" ht="9" customHeight="1">
      <c r="G2" s="295" t="s">
        <v>1</v>
      </c>
    </row>
    <row r="3" ht="9.75" customHeight="1">
      <c r="G3" s="295" t="s">
        <v>2</v>
      </c>
    </row>
    <row r="4" ht="9.75" customHeight="1">
      <c r="G4" s="295" t="s">
        <v>3</v>
      </c>
    </row>
    <row r="5" ht="9" customHeight="1">
      <c r="G5" s="295" t="s">
        <v>4</v>
      </c>
    </row>
    <row r="6" ht="10.5" customHeight="1">
      <c r="G6" s="295" t="s">
        <v>5</v>
      </c>
    </row>
    <row r="7" ht="9" customHeight="1">
      <c r="G7" s="295" t="s">
        <v>6</v>
      </c>
    </row>
    <row r="8" ht="9.75" customHeight="1">
      <c r="G8" s="295" t="s">
        <v>7</v>
      </c>
    </row>
    <row r="9" ht="9" customHeight="1">
      <c r="G9" s="295" t="s">
        <v>8</v>
      </c>
    </row>
    <row r="10" ht="9.75" customHeight="1">
      <c r="G10" s="295" t="s">
        <v>9</v>
      </c>
    </row>
    <row r="11" spans="2:4" s="266" customFormat="1" ht="15">
      <c r="B11" s="296"/>
      <c r="C11" s="297" t="s">
        <v>341</v>
      </c>
      <c r="D11" s="296"/>
    </row>
    <row r="12" spans="2:4" s="266" customFormat="1" ht="15">
      <c r="B12" s="296"/>
      <c r="C12" s="297" t="s">
        <v>342</v>
      </c>
      <c r="D12" s="296"/>
    </row>
    <row r="13" spans="1:7" s="266" customFormat="1" ht="33" customHeight="1">
      <c r="A13" s="662" t="s">
        <v>343</v>
      </c>
      <c r="B13" s="662"/>
      <c r="C13" s="662"/>
      <c r="D13" s="662"/>
      <c r="E13" s="662"/>
      <c r="F13" s="662"/>
      <c r="G13" s="662"/>
    </row>
    <row r="14" spans="1:7" s="266" customFormat="1" ht="18.75" customHeight="1">
      <c r="A14" s="662" t="s">
        <v>439</v>
      </c>
      <c r="B14" s="662"/>
      <c r="C14" s="662"/>
      <c r="D14" s="662"/>
      <c r="E14" s="662"/>
      <c r="F14" s="662"/>
      <c r="G14" s="662"/>
    </row>
    <row r="15" spans="1:7" s="266" customFormat="1" ht="15">
      <c r="A15" s="298"/>
      <c r="B15" s="298"/>
      <c r="C15" s="298"/>
      <c r="D15" s="298"/>
      <c r="E15" s="298"/>
      <c r="F15" s="298"/>
      <c r="G15" s="298"/>
    </row>
    <row r="16" spans="2:4" s="266" customFormat="1" ht="15">
      <c r="B16" s="296"/>
      <c r="C16" s="297" t="s">
        <v>424</v>
      </c>
      <c r="D16" s="296"/>
    </row>
    <row r="17" spans="2:4" s="266" customFormat="1" ht="15">
      <c r="B17" s="296"/>
      <c r="C17" s="297"/>
      <c r="D17" s="296"/>
    </row>
    <row r="18" spans="1:3" s="266" customFormat="1" ht="17.25" customHeight="1">
      <c r="A18" s="299" t="s">
        <v>344</v>
      </c>
      <c r="B18" s="300"/>
      <c r="C18" s="301" t="s">
        <v>397</v>
      </c>
    </row>
    <row r="19" s="266" customFormat="1" ht="12.75" hidden="1">
      <c r="B19" s="302"/>
    </row>
    <row r="20" s="266" customFormat="1" ht="12.75">
      <c r="B20" s="302"/>
    </row>
    <row r="21" s="303" customFormat="1" ht="13.5">
      <c r="A21" s="303" t="s">
        <v>345</v>
      </c>
    </row>
    <row r="22" s="303" customFormat="1" ht="13.5">
      <c r="A22" s="303" t="s">
        <v>346</v>
      </c>
    </row>
    <row r="24" spans="1:7" ht="39" customHeight="1">
      <c r="A24" s="495" t="s">
        <v>347</v>
      </c>
      <c r="B24" s="496"/>
      <c r="C24" s="305" t="s">
        <v>16</v>
      </c>
      <c r="D24" s="305" t="s">
        <v>348</v>
      </c>
      <c r="E24" s="655" t="s">
        <v>349</v>
      </c>
      <c r="F24" s="655"/>
      <c r="G24" s="655"/>
    </row>
    <row r="25" spans="1:7" ht="21.75" customHeight="1">
      <c r="A25" s="523" t="s">
        <v>350</v>
      </c>
      <c r="B25" s="646"/>
      <c r="C25" s="646"/>
      <c r="D25" s="646"/>
      <c r="E25" s="646"/>
      <c r="F25" s="646"/>
      <c r="G25" s="524"/>
    </row>
    <row r="26" spans="1:7" ht="64.5" customHeight="1">
      <c r="A26" s="635" t="s">
        <v>351</v>
      </c>
      <c r="B26" s="634"/>
      <c r="C26" s="306" t="s">
        <v>102</v>
      </c>
      <c r="D26" s="307">
        <f>D27</f>
        <v>1280</v>
      </c>
      <c r="E26" s="307">
        <f>E27</f>
        <v>1275</v>
      </c>
      <c r="F26" s="307">
        <f>F27</f>
        <v>1275</v>
      </c>
      <c r="G26" s="307">
        <f>G27</f>
        <v>1320</v>
      </c>
    </row>
    <row r="27" spans="1:7" ht="12.75">
      <c r="A27" s="635" t="s">
        <v>352</v>
      </c>
      <c r="B27" s="634"/>
      <c r="C27" s="306" t="s">
        <v>102</v>
      </c>
      <c r="D27" s="307">
        <f>ROUND((E27*8+G27)/9,0)</f>
        <v>1280</v>
      </c>
      <c r="E27" s="307">
        <f>'мун.задание'!J68</f>
        <v>1275</v>
      </c>
      <c r="F27" s="307">
        <f>'мун.задание'!K68</f>
        <v>1275</v>
      </c>
      <c r="G27" s="307">
        <f>'мун.задание'!L68</f>
        <v>1320</v>
      </c>
    </row>
    <row r="28" spans="1:7" ht="15" customHeight="1">
      <c r="A28" s="635" t="s">
        <v>353</v>
      </c>
      <c r="B28" s="634"/>
      <c r="C28" s="306" t="s">
        <v>102</v>
      </c>
      <c r="D28" s="307">
        <f>ROUND((E28*8+G28)/9,0)</f>
        <v>1280</v>
      </c>
      <c r="E28" s="307">
        <f>'мун.задание'!J69</f>
        <v>1275</v>
      </c>
      <c r="F28" s="307">
        <f>'мун.задание'!K69</f>
        <v>1275</v>
      </c>
      <c r="G28" s="307">
        <f>'мун.задание'!L69</f>
        <v>1320</v>
      </c>
    </row>
    <row r="29" spans="1:7" ht="15" customHeight="1">
      <c r="A29" s="635" t="s">
        <v>354</v>
      </c>
      <c r="B29" s="634"/>
      <c r="C29" s="306" t="s">
        <v>102</v>
      </c>
      <c r="D29" s="307">
        <f>ROUND((E29*8+G29)/9,0)</f>
        <v>1280</v>
      </c>
      <c r="E29" s="307">
        <f>'мун.задание'!J70</f>
        <v>1275</v>
      </c>
      <c r="F29" s="307">
        <f>'мун.задание'!K70</f>
        <v>1275</v>
      </c>
      <c r="G29" s="307">
        <f>'мун.задание'!L70</f>
        <v>1320</v>
      </c>
    </row>
    <row r="30" spans="1:7" ht="22.5" customHeight="1">
      <c r="A30" s="523" t="s">
        <v>355</v>
      </c>
      <c r="B30" s="646"/>
      <c r="C30" s="646"/>
      <c r="D30" s="646"/>
      <c r="E30" s="646"/>
      <c r="F30" s="646"/>
      <c r="G30" s="524"/>
    </row>
    <row r="31" spans="1:7" ht="63" customHeight="1">
      <c r="A31" s="635" t="s">
        <v>356</v>
      </c>
      <c r="B31" s="634"/>
      <c r="C31" s="306" t="s">
        <v>102</v>
      </c>
      <c r="D31" s="307">
        <f>D32</f>
        <v>1280</v>
      </c>
      <c r="E31" s="307">
        <f>E32</f>
        <v>1275</v>
      </c>
      <c r="F31" s="307">
        <f>F32</f>
        <v>1275</v>
      </c>
      <c r="G31" s="307">
        <f>G32</f>
        <v>1320</v>
      </c>
    </row>
    <row r="32" spans="1:7" ht="12.75">
      <c r="A32" s="635" t="s">
        <v>352</v>
      </c>
      <c r="B32" s="634"/>
      <c r="C32" s="306" t="s">
        <v>102</v>
      </c>
      <c r="D32" s="307">
        <f>D27</f>
        <v>1280</v>
      </c>
      <c r="E32" s="307">
        <f aca="true" t="shared" si="0" ref="D32:G34">E27</f>
        <v>1275</v>
      </c>
      <c r="F32" s="307">
        <f t="shared" si="0"/>
        <v>1275</v>
      </c>
      <c r="G32" s="307">
        <f t="shared" si="0"/>
        <v>1320</v>
      </c>
    </row>
    <row r="33" spans="1:7" ht="13.5" customHeight="1">
      <c r="A33" s="635" t="s">
        <v>353</v>
      </c>
      <c r="B33" s="634"/>
      <c r="C33" s="306" t="s">
        <v>102</v>
      </c>
      <c r="D33" s="307">
        <f t="shared" si="0"/>
        <v>1280</v>
      </c>
      <c r="E33" s="307">
        <f t="shared" si="0"/>
        <v>1275</v>
      </c>
      <c r="F33" s="307">
        <f t="shared" si="0"/>
        <v>1275</v>
      </c>
      <c r="G33" s="307">
        <f t="shared" si="0"/>
        <v>1320</v>
      </c>
    </row>
    <row r="34" spans="1:7" ht="13.5" customHeight="1">
      <c r="A34" s="635" t="s">
        <v>354</v>
      </c>
      <c r="B34" s="634"/>
      <c r="C34" s="306" t="s">
        <v>102</v>
      </c>
      <c r="D34" s="307">
        <f t="shared" si="0"/>
        <v>1280</v>
      </c>
      <c r="E34" s="307">
        <f t="shared" si="0"/>
        <v>1275</v>
      </c>
      <c r="F34" s="307">
        <f t="shared" si="0"/>
        <v>1275</v>
      </c>
      <c r="G34" s="307">
        <f t="shared" si="0"/>
        <v>1320</v>
      </c>
    </row>
    <row r="38" s="303" customFormat="1" ht="13.5">
      <c r="A38" s="303" t="s">
        <v>357</v>
      </c>
    </row>
    <row r="40" spans="1:7" ht="31.5" customHeight="1">
      <c r="A40" s="495" t="s">
        <v>347</v>
      </c>
      <c r="B40" s="496"/>
      <c r="C40" s="495" t="s">
        <v>358</v>
      </c>
      <c r="D40" s="496"/>
      <c r="E40" s="655" t="s">
        <v>359</v>
      </c>
      <c r="F40" s="655"/>
      <c r="G40" s="655"/>
    </row>
    <row r="41" spans="1:7" ht="19.5" customHeight="1">
      <c r="A41" s="523" t="s">
        <v>350</v>
      </c>
      <c r="B41" s="646"/>
      <c r="C41" s="646"/>
      <c r="D41" s="646"/>
      <c r="E41" s="646"/>
      <c r="F41" s="646"/>
      <c r="G41" s="524"/>
    </row>
    <row r="42" spans="1:8" ht="67.5" customHeight="1">
      <c r="A42" s="642" t="s">
        <v>360</v>
      </c>
      <c r="B42" s="643"/>
      <c r="C42" s="644">
        <f>C43+C49</f>
        <v>34327.91618</v>
      </c>
      <c r="D42" s="645"/>
      <c r="E42" s="308">
        <f>E43+E49</f>
        <v>1818.3296</v>
      </c>
      <c r="F42" s="308">
        <f>F43+F49</f>
        <v>2092.5292</v>
      </c>
      <c r="G42" s="308">
        <f>G43+G49</f>
        <v>3460.1092</v>
      </c>
      <c r="H42" s="341">
        <f aca="true" t="shared" si="1" ref="H42:H55">C42-C72</f>
        <v>1439.2943000000014</v>
      </c>
    </row>
    <row r="43" spans="1:8" s="310" customFormat="1" ht="67.5" customHeight="1">
      <c r="A43" s="636" t="s">
        <v>361</v>
      </c>
      <c r="B43" s="637"/>
      <c r="C43" s="638">
        <f>SUM(C44:D48)</f>
        <v>33035.44218</v>
      </c>
      <c r="D43" s="639"/>
      <c r="E43" s="309">
        <f>SUM(E44:E48)</f>
        <v>1634.1516000000001</v>
      </c>
      <c r="F43" s="309">
        <f>SUM(F44:F48)</f>
        <v>1922.3041999999998</v>
      </c>
      <c r="G43" s="309">
        <f>SUM(G44:G48)</f>
        <v>3450.1092</v>
      </c>
      <c r="H43" s="341">
        <f t="shared" si="1"/>
        <v>1429.8073000000004</v>
      </c>
    </row>
    <row r="44" spans="1:12" ht="28.5" customHeight="1">
      <c r="A44" s="635" t="s">
        <v>362</v>
      </c>
      <c r="B44" s="634"/>
      <c r="C44" s="628">
        <f>E44+F44+G44</f>
        <v>0</v>
      </c>
      <c r="D44" s="629"/>
      <c r="E44" s="311">
        <f>'мун.задание'!G97/1000</f>
        <v>0</v>
      </c>
      <c r="F44" s="311">
        <f>'мун.задание'!H97/1000</f>
        <v>0</v>
      </c>
      <c r="G44" s="311">
        <f>'мун.задание'!I97/1000</f>
        <v>0</v>
      </c>
      <c r="H44" s="341">
        <f t="shared" si="1"/>
        <v>0</v>
      </c>
      <c r="I44" s="341">
        <f aca="true" t="shared" si="2" ref="I44:L48">D44-D74</f>
        <v>0</v>
      </c>
      <c r="J44" s="341">
        <f t="shared" si="2"/>
        <v>0</v>
      </c>
      <c r="K44" s="341">
        <f t="shared" si="2"/>
        <v>0</v>
      </c>
      <c r="L44" s="341">
        <f t="shared" si="2"/>
        <v>0</v>
      </c>
    </row>
    <row r="45" spans="1:12" ht="28.5" customHeight="1">
      <c r="A45" s="635" t="s">
        <v>390</v>
      </c>
      <c r="B45" s="634"/>
      <c r="C45" s="628">
        <f>E45+F45+G45</f>
        <v>0</v>
      </c>
      <c r="D45" s="629"/>
      <c r="E45" s="311">
        <f>'мун.задание'!G99/1000</f>
        <v>0</v>
      </c>
      <c r="F45" s="311">
        <f>'мун.задание'!H99/1000</f>
        <v>0</v>
      </c>
      <c r="G45" s="311">
        <f>'мун.задание'!I99/1000</f>
        <v>0</v>
      </c>
      <c r="H45" s="341">
        <f t="shared" si="1"/>
        <v>0</v>
      </c>
      <c r="I45" s="341">
        <f t="shared" si="2"/>
        <v>0</v>
      </c>
      <c r="J45" s="341">
        <f t="shared" si="2"/>
        <v>0</v>
      </c>
      <c r="K45" s="341">
        <f t="shared" si="2"/>
        <v>0</v>
      </c>
      <c r="L45" s="341">
        <f t="shared" si="2"/>
        <v>0</v>
      </c>
    </row>
    <row r="46" spans="1:12" ht="28.5" customHeight="1">
      <c r="A46" s="635" t="s">
        <v>363</v>
      </c>
      <c r="B46" s="634"/>
      <c r="C46" s="628">
        <f>14231.801+E46+F46+G46</f>
        <v>18122.351</v>
      </c>
      <c r="D46" s="629"/>
      <c r="E46" s="311">
        <f>'мун.задание'!J101/1000</f>
        <v>607.844</v>
      </c>
      <c r="F46" s="311">
        <f>'мун.задание'!K101/1000</f>
        <v>1215.687</v>
      </c>
      <c r="G46" s="311">
        <f>'мун.задание'!L101/1000</f>
        <v>2067.019</v>
      </c>
      <c r="H46" s="341">
        <f>C46-C76</f>
        <v>421.78168000000005</v>
      </c>
      <c r="I46" s="341">
        <f t="shared" si="2"/>
        <v>0</v>
      </c>
      <c r="J46" s="341">
        <f t="shared" si="2"/>
        <v>-471.3799999999999</v>
      </c>
      <c r="K46" s="341">
        <f t="shared" si="2"/>
        <v>679.5809999999999</v>
      </c>
      <c r="L46" s="341">
        <f t="shared" si="2"/>
        <v>213.5806799999998</v>
      </c>
    </row>
    <row r="47" spans="1:12" ht="15" customHeight="1">
      <c r="A47" s="635" t="s">
        <v>364</v>
      </c>
      <c r="B47" s="634"/>
      <c r="C47" s="628">
        <f>4767.76018+E47+F47+G47</f>
        <v>6138.82318</v>
      </c>
      <c r="D47" s="629"/>
      <c r="E47" s="311">
        <f>'мун.задание'!J103/1000</f>
        <v>768.3706</v>
      </c>
      <c r="F47" s="311">
        <f>'мун.задание'!K103/1000</f>
        <v>190.7432</v>
      </c>
      <c r="G47" s="311">
        <f>'мун.задание'!L103/1000</f>
        <v>411.9492</v>
      </c>
      <c r="H47" s="341">
        <f t="shared" si="1"/>
        <v>435.7033000000001</v>
      </c>
      <c r="I47" s="341">
        <f t="shared" si="2"/>
        <v>0</v>
      </c>
      <c r="J47" s="341">
        <f t="shared" si="2"/>
        <v>-10.462060000000065</v>
      </c>
      <c r="K47" s="341">
        <f t="shared" si="2"/>
        <v>-6.6759400000000255</v>
      </c>
      <c r="L47" s="341">
        <f t="shared" si="2"/>
        <v>108.79262</v>
      </c>
    </row>
    <row r="48" spans="1:12" ht="15" customHeight="1">
      <c r="A48" s="635" t="s">
        <v>365</v>
      </c>
      <c r="B48" s="634"/>
      <c r="C48" s="628">
        <f>7029.316+E48+F48+G48</f>
        <v>8774.268</v>
      </c>
      <c r="D48" s="629"/>
      <c r="E48" s="311">
        <f>'мун.задание'!J107/1000</f>
        <v>257.937</v>
      </c>
      <c r="F48" s="311">
        <f>'мун.задание'!K107/1000</f>
        <v>515.874</v>
      </c>
      <c r="G48" s="311">
        <f>'мун.задание'!L107/1000</f>
        <v>971.141</v>
      </c>
      <c r="H48" s="341">
        <f t="shared" si="1"/>
        <v>572.3223200000011</v>
      </c>
      <c r="I48" s="341">
        <f t="shared" si="2"/>
        <v>0</v>
      </c>
      <c r="J48" s="341">
        <f t="shared" si="2"/>
        <v>-184.84299999999996</v>
      </c>
      <c r="K48" s="341">
        <f t="shared" si="2"/>
        <v>125.39800000000002</v>
      </c>
      <c r="L48" s="341">
        <f t="shared" si="2"/>
        <v>631.76732</v>
      </c>
    </row>
    <row r="49" spans="1:8" s="310" customFormat="1" ht="68.25" customHeight="1">
      <c r="A49" s="636" t="s">
        <v>366</v>
      </c>
      <c r="B49" s="637"/>
      <c r="C49" s="638">
        <f>C50</f>
        <v>1292.474</v>
      </c>
      <c r="D49" s="639"/>
      <c r="E49" s="309">
        <f>E50</f>
        <v>184.178</v>
      </c>
      <c r="F49" s="309">
        <f>F50</f>
        <v>170.225</v>
      </c>
      <c r="G49" s="309">
        <f>G50</f>
        <v>10</v>
      </c>
      <c r="H49" s="341">
        <f t="shared" si="1"/>
        <v>9.486999999999853</v>
      </c>
    </row>
    <row r="50" spans="1:12" ht="15" customHeight="1">
      <c r="A50" s="635" t="s">
        <v>354</v>
      </c>
      <c r="B50" s="634"/>
      <c r="C50" s="628">
        <f>928.071+E50+F50+G50</f>
        <v>1292.474</v>
      </c>
      <c r="D50" s="629"/>
      <c r="E50" s="311">
        <f>'мун.задание'!J121/1000</f>
        <v>184.178</v>
      </c>
      <c r="F50" s="311">
        <f>'мун.задание'!K121/1000</f>
        <v>170.225</v>
      </c>
      <c r="G50" s="311">
        <f>'мун.задание'!L121/1000</f>
        <v>10</v>
      </c>
      <c r="H50" s="341">
        <f t="shared" si="1"/>
        <v>9.486999999999853</v>
      </c>
      <c r="I50" s="341">
        <f aca="true" t="shared" si="3" ref="I50:L55">D50-D80</f>
        <v>0</v>
      </c>
      <c r="J50" s="341">
        <f t="shared" si="3"/>
        <v>11.175999999999988</v>
      </c>
      <c r="K50" s="341">
        <f t="shared" si="3"/>
        <v>-13.953000000000003</v>
      </c>
      <c r="L50" s="341">
        <f t="shared" si="3"/>
        <v>10</v>
      </c>
    </row>
    <row r="51" spans="1:12" s="310" customFormat="1" ht="65.25" customHeight="1">
      <c r="A51" s="636" t="s">
        <v>367</v>
      </c>
      <c r="B51" s="637"/>
      <c r="C51" s="640" t="e">
        <f>SUM(C52:D70)</f>
        <v>#REF!</v>
      </c>
      <c r="D51" s="641"/>
      <c r="E51" s="314" t="e">
        <f>SUM(E52:E70)</f>
        <v>#REF!</v>
      </c>
      <c r="F51" s="314">
        <f>SUM(F52:F70)</f>
        <v>85.6611</v>
      </c>
      <c r="G51" s="314">
        <f>SUM(G52:G70)</f>
        <v>125.557</v>
      </c>
      <c r="H51" s="341" t="e">
        <f t="shared" si="1"/>
        <v>#REF!</v>
      </c>
      <c r="I51" s="341">
        <f t="shared" si="3"/>
        <v>0</v>
      </c>
      <c r="J51" s="341" t="e">
        <f t="shared" si="3"/>
        <v>#REF!</v>
      </c>
      <c r="K51" s="341">
        <f t="shared" si="3"/>
        <v>-61.37662</v>
      </c>
      <c r="L51" s="341">
        <f t="shared" si="3"/>
        <v>123.877</v>
      </c>
    </row>
    <row r="52" spans="1:12" ht="78" customHeight="1">
      <c r="A52" s="635" t="str">
        <f>'мун.задание'!A133</f>
        <v>Обеспечение обучающихся 1-11 классов горячим питанием</v>
      </c>
      <c r="B52" s="634"/>
      <c r="C52" s="628">
        <f>1339.96562+E52+F52+G52</f>
        <v>1465.52262</v>
      </c>
      <c r="D52" s="629"/>
      <c r="E52" s="313">
        <f>'мун.задание'!J133/1000</f>
        <v>0</v>
      </c>
      <c r="F52" s="313">
        <f>'мун.задание'!K133/1000</f>
        <v>0</v>
      </c>
      <c r="G52" s="313">
        <f>'мун.задание'!L133/1000</f>
        <v>125.557</v>
      </c>
      <c r="H52" s="341">
        <f t="shared" si="1"/>
        <v>39.89590000000021</v>
      </c>
      <c r="I52" s="341">
        <f t="shared" si="3"/>
        <v>0</v>
      </c>
      <c r="J52" s="341">
        <f t="shared" si="3"/>
        <v>-108.358</v>
      </c>
      <c r="K52" s="341">
        <f t="shared" si="3"/>
        <v>-146.67772</v>
      </c>
      <c r="L52" s="341">
        <f t="shared" si="3"/>
        <v>125.557</v>
      </c>
    </row>
    <row r="53" spans="1:12" ht="120" customHeight="1">
      <c r="A53" s="635" t="str">
        <f>'мун.задание'!A134</f>
        <v>Организация питания детей в оздоровительных лагерях с дневным пребыванием детей в каникулярное время</v>
      </c>
      <c r="B53" s="634"/>
      <c r="C53" s="628" t="e">
        <f>5.04+E53+F53+G53</f>
        <v>#REF!</v>
      </c>
      <c r="D53" s="629"/>
      <c r="E53" s="313" t="e">
        <f>'мун.задание'!#REF!/1000</f>
        <v>#REF!</v>
      </c>
      <c r="F53" s="313">
        <f>'мун.задание'!J134/1000</f>
        <v>85.6611</v>
      </c>
      <c r="G53" s="313">
        <f>'мун.задание'!L134/1000</f>
        <v>0</v>
      </c>
      <c r="H53" s="341" t="e">
        <f t="shared" si="1"/>
        <v>#REF!</v>
      </c>
      <c r="I53" s="341">
        <f t="shared" si="3"/>
        <v>0</v>
      </c>
      <c r="J53" s="341" t="e">
        <f t="shared" si="3"/>
        <v>#REF!</v>
      </c>
      <c r="K53" s="341">
        <f t="shared" si="3"/>
        <v>85.3011</v>
      </c>
      <c r="L53" s="341">
        <f t="shared" si="3"/>
        <v>-1.68</v>
      </c>
    </row>
    <row r="54" spans="1:12" ht="6" customHeight="1" hidden="1">
      <c r="A54" s="635" t="s">
        <v>87</v>
      </c>
      <c r="B54" s="634"/>
      <c r="C54" s="628">
        <v>0</v>
      </c>
      <c r="D54" s="629"/>
      <c r="E54" s="313">
        <f>'мун.задание'!D135/1000</f>
        <v>0</v>
      </c>
      <c r="F54" s="313">
        <f>'мун.задание'!E135/1000</f>
        <v>0</v>
      </c>
      <c r="G54" s="313">
        <f>'мун.задание'!F135/1000</f>
        <v>0</v>
      </c>
      <c r="H54" s="341">
        <f t="shared" si="1"/>
        <v>-204.93720000000002</v>
      </c>
      <c r="I54" s="341">
        <f t="shared" si="3"/>
        <v>0</v>
      </c>
      <c r="J54" s="341">
        <f t="shared" si="3"/>
        <v>-143.45604</v>
      </c>
      <c r="K54" s="341">
        <f t="shared" si="3"/>
        <v>0</v>
      </c>
      <c r="L54" s="341">
        <f t="shared" si="3"/>
        <v>0</v>
      </c>
    </row>
    <row r="55" spans="1:12" ht="6" customHeight="1" hidden="1">
      <c r="A55" s="635" t="s">
        <v>368</v>
      </c>
      <c r="B55" s="634"/>
      <c r="C55" s="628">
        <v>0</v>
      </c>
      <c r="D55" s="629"/>
      <c r="E55" s="313"/>
      <c r="F55" s="313"/>
      <c r="G55" s="313"/>
      <c r="H55" s="341">
        <f t="shared" si="1"/>
        <v>0</v>
      </c>
      <c r="I55" s="341">
        <f t="shared" si="3"/>
        <v>0</v>
      </c>
      <c r="J55" s="341">
        <f t="shared" si="3"/>
        <v>0</v>
      </c>
      <c r="K55" s="341">
        <f t="shared" si="3"/>
        <v>0</v>
      </c>
      <c r="L55" s="341">
        <f t="shared" si="3"/>
        <v>0</v>
      </c>
    </row>
    <row r="56" spans="1:12" ht="38.25" customHeight="1">
      <c r="A56" s="635" t="str">
        <f>'мун.задание'!A135</f>
        <v>Приведение зданий, сооружений и территории учреждений общего и дополнительного образования в соответствие с современными требованиями и нормами</v>
      </c>
      <c r="B56" s="634"/>
      <c r="C56" s="628">
        <f>61.48116+E56+F56+G56</f>
        <v>61.48116</v>
      </c>
      <c r="D56" s="629"/>
      <c r="E56" s="313">
        <f>'мун.задание'!J135/1000</f>
        <v>0</v>
      </c>
      <c r="F56" s="313">
        <f>'мун.задание'!K135/1000</f>
        <v>0</v>
      </c>
      <c r="G56" s="313">
        <f>'мун.задание'!L135/1000</f>
        <v>0</v>
      </c>
      <c r="H56" s="341">
        <f>C56-C84</f>
        <v>-143.45604000000003</v>
      </c>
      <c r="I56" s="341">
        <f>D56-D84</f>
        <v>0</v>
      </c>
      <c r="J56" s="341">
        <f>E56-E84</f>
        <v>-143.45604</v>
      </c>
      <c r="K56" s="341">
        <f>F56-F84</f>
        <v>0</v>
      </c>
      <c r="L56" s="341">
        <f>G56-G84</f>
        <v>0</v>
      </c>
    </row>
    <row r="57" spans="1:12" ht="35.25" customHeight="1" hidden="1">
      <c r="A57" s="635">
        <f>'мун.задание'!A136</f>
        <v>0</v>
      </c>
      <c r="B57" s="634"/>
      <c r="C57" s="628">
        <f aca="true" t="shared" si="4" ref="C57:C63">E57+F57+G57</f>
        <v>0</v>
      </c>
      <c r="D57" s="629"/>
      <c r="E57" s="313">
        <f>'мун.задание'!D136/1000</f>
        <v>0</v>
      </c>
      <c r="F57" s="313">
        <f>'мун.задание'!E136/1000</f>
        <v>0</v>
      </c>
      <c r="G57" s="313">
        <f>'мун.задание'!F136/1000</f>
        <v>0</v>
      </c>
      <c r="H57" s="341"/>
      <c r="I57" s="341"/>
      <c r="J57" s="341"/>
      <c r="K57" s="341"/>
      <c r="L57" s="341">
        <f aca="true" t="shared" si="5" ref="L57:L70">G57-G87</f>
        <v>0</v>
      </c>
    </row>
    <row r="58" spans="1:12" ht="57" customHeight="1" hidden="1">
      <c r="A58" s="635">
        <f>'мун.задание'!A137</f>
        <v>0</v>
      </c>
      <c r="B58" s="634"/>
      <c r="C58" s="628">
        <f t="shared" si="4"/>
        <v>0</v>
      </c>
      <c r="D58" s="629"/>
      <c r="E58" s="313">
        <f>'мун.задание'!D137/1000</f>
        <v>0</v>
      </c>
      <c r="F58" s="313">
        <f>'мун.задание'!E137/1000</f>
        <v>0</v>
      </c>
      <c r="G58" s="313">
        <f>'мун.задание'!F137/1000</f>
        <v>0</v>
      </c>
      <c r="H58" s="341"/>
      <c r="I58" s="341"/>
      <c r="J58" s="341"/>
      <c r="K58" s="341"/>
      <c r="L58" s="341">
        <f t="shared" si="5"/>
        <v>0</v>
      </c>
    </row>
    <row r="59" spans="1:12" ht="55.5" customHeight="1" hidden="1">
      <c r="A59" s="635"/>
      <c r="B59" s="634"/>
      <c r="C59" s="628">
        <f t="shared" si="4"/>
        <v>0</v>
      </c>
      <c r="D59" s="629"/>
      <c r="E59" s="313">
        <f>'мун.задание'!D138/1000</f>
        <v>0</v>
      </c>
      <c r="F59" s="313">
        <f>'мун.задание'!E138/1000</f>
        <v>0</v>
      </c>
      <c r="G59" s="313">
        <f>'мун.задание'!F138/1000</f>
        <v>0</v>
      </c>
      <c r="H59" s="341"/>
      <c r="I59" s="341"/>
      <c r="J59" s="341"/>
      <c r="K59" s="341"/>
      <c r="L59" s="341">
        <f t="shared" si="5"/>
        <v>0</v>
      </c>
    </row>
    <row r="60" spans="1:12" ht="25.5" customHeight="1" hidden="1">
      <c r="A60" s="635"/>
      <c r="B60" s="634"/>
      <c r="C60" s="628">
        <f t="shared" si="4"/>
        <v>0</v>
      </c>
      <c r="D60" s="629"/>
      <c r="E60" s="313">
        <f>'мун.задание'!D139/1000</f>
        <v>0</v>
      </c>
      <c r="F60" s="313">
        <f>'мун.задание'!E139/1000</f>
        <v>0</v>
      </c>
      <c r="G60" s="313">
        <f>'мун.задание'!F139/1000</f>
        <v>0</v>
      </c>
      <c r="H60" s="341"/>
      <c r="I60" s="341"/>
      <c r="J60" s="341"/>
      <c r="K60" s="341"/>
      <c r="L60" s="341">
        <f t="shared" si="5"/>
        <v>0</v>
      </c>
    </row>
    <row r="61" spans="1:12" ht="38.25" customHeight="1" hidden="1">
      <c r="A61" s="630"/>
      <c r="B61" s="630"/>
      <c r="C61" s="628">
        <f t="shared" si="4"/>
        <v>0</v>
      </c>
      <c r="D61" s="629"/>
      <c r="E61" s="313">
        <f>'мун.задание'!D140/1000</f>
        <v>0</v>
      </c>
      <c r="F61" s="313">
        <f>'мун.задание'!E140/1000</f>
        <v>0</v>
      </c>
      <c r="G61" s="313">
        <f>'мун.задание'!F140/1000</f>
        <v>0</v>
      </c>
      <c r="H61" s="341"/>
      <c r="I61" s="341"/>
      <c r="J61" s="341"/>
      <c r="K61" s="341"/>
      <c r="L61" s="341">
        <f t="shared" si="5"/>
        <v>0</v>
      </c>
    </row>
    <row r="62" spans="1:12" ht="72.75" customHeight="1" hidden="1">
      <c r="A62" s="630"/>
      <c r="B62" s="630"/>
      <c r="C62" s="628">
        <f t="shared" si="4"/>
        <v>0</v>
      </c>
      <c r="D62" s="629"/>
      <c r="E62" s="313">
        <f>'мун.задание'!D141/1000</f>
        <v>0</v>
      </c>
      <c r="F62" s="313">
        <f>'мун.задание'!E141/1000</f>
        <v>0</v>
      </c>
      <c r="G62" s="313">
        <f>'мун.задание'!F141/1000</f>
        <v>0</v>
      </c>
      <c r="H62" s="341"/>
      <c r="I62" s="341"/>
      <c r="J62" s="341"/>
      <c r="K62" s="341"/>
      <c r="L62" s="341">
        <f t="shared" si="5"/>
        <v>0</v>
      </c>
    </row>
    <row r="63" spans="1:12" ht="62.25" customHeight="1" hidden="1">
      <c r="A63" s="630"/>
      <c r="B63" s="630"/>
      <c r="C63" s="628">
        <f t="shared" si="4"/>
        <v>0</v>
      </c>
      <c r="D63" s="629"/>
      <c r="E63" s="313">
        <f>'мун.задание'!D142/1000</f>
        <v>0</v>
      </c>
      <c r="F63" s="313">
        <f>'мун.задание'!E142/1000</f>
        <v>0</v>
      </c>
      <c r="G63" s="313">
        <f>'мун.задание'!F142/1000</f>
        <v>0</v>
      </c>
      <c r="H63" s="341"/>
      <c r="I63" s="341"/>
      <c r="J63" s="341"/>
      <c r="K63" s="341"/>
      <c r="L63" s="341">
        <f t="shared" si="5"/>
        <v>0</v>
      </c>
    </row>
    <row r="64" spans="1:12" ht="27" customHeight="1" hidden="1">
      <c r="A64" s="631" t="s">
        <v>338</v>
      </c>
      <c r="B64" s="631"/>
      <c r="C64" s="631"/>
      <c r="D64" s="631"/>
      <c r="E64" s="631"/>
      <c r="F64" s="631"/>
      <c r="G64" s="632"/>
      <c r="H64" s="341">
        <f>C64-C94</f>
        <v>0</v>
      </c>
      <c r="L64" s="341">
        <f t="shared" si="5"/>
        <v>0</v>
      </c>
    </row>
    <row r="65" spans="1:12" ht="38.25" customHeight="1" hidden="1">
      <c r="A65" s="633"/>
      <c r="B65" s="634"/>
      <c r="C65" s="628">
        <f>E65+F65+G65</f>
        <v>0</v>
      </c>
      <c r="D65" s="629"/>
      <c r="E65" s="313">
        <f>'мун.задание'!D147/1000</f>
        <v>0</v>
      </c>
      <c r="F65" s="313">
        <f>'мун.задание'!K147/1000</f>
        <v>0</v>
      </c>
      <c r="G65" s="313">
        <f>'мун.задание'!L147/1000</f>
        <v>0</v>
      </c>
      <c r="H65" s="341"/>
      <c r="I65" s="341"/>
      <c r="J65" s="341"/>
      <c r="K65" s="341"/>
      <c r="L65" s="341">
        <f t="shared" si="5"/>
        <v>0</v>
      </c>
    </row>
    <row r="66" spans="1:12" ht="21.75" customHeight="1" hidden="1">
      <c r="A66" s="420" t="s">
        <v>339</v>
      </c>
      <c r="B66" s="421"/>
      <c r="C66" s="421"/>
      <c r="D66" s="421"/>
      <c r="E66" s="421"/>
      <c r="F66" s="421"/>
      <c r="G66" s="421"/>
      <c r="H66" s="341"/>
      <c r="L66" s="341">
        <f t="shared" si="5"/>
        <v>0</v>
      </c>
    </row>
    <row r="67" spans="1:12" ht="56.25" customHeight="1" hidden="1">
      <c r="A67" s="633"/>
      <c r="B67" s="634"/>
      <c r="C67" s="628">
        <f>E67+F67+G67</f>
        <v>0</v>
      </c>
      <c r="D67" s="629"/>
      <c r="E67" s="313"/>
      <c r="F67" s="313"/>
      <c r="G67" s="313"/>
      <c r="H67" s="341"/>
      <c r="I67" s="341"/>
      <c r="J67" s="341"/>
      <c r="K67" s="341"/>
      <c r="L67" s="341">
        <f t="shared" si="5"/>
        <v>0</v>
      </c>
    </row>
    <row r="68" spans="1:12" ht="12.75" hidden="1">
      <c r="A68" s="633"/>
      <c r="B68" s="634"/>
      <c r="C68" s="628">
        <f>E68+F68+G68</f>
        <v>0</v>
      </c>
      <c r="D68" s="629"/>
      <c r="E68" s="313"/>
      <c r="F68" s="313"/>
      <c r="G68" s="313"/>
      <c r="H68" s="341"/>
      <c r="I68" s="341"/>
      <c r="J68" s="341"/>
      <c r="K68" s="341"/>
      <c r="L68" s="341">
        <f t="shared" si="5"/>
        <v>0</v>
      </c>
    </row>
    <row r="69" spans="1:12" ht="23.25" customHeight="1" hidden="1">
      <c r="A69" s="633"/>
      <c r="B69" s="634"/>
      <c r="C69" s="628">
        <f>E69+F69+G69</f>
        <v>0</v>
      </c>
      <c r="D69" s="629"/>
      <c r="E69" s="313"/>
      <c r="F69" s="313"/>
      <c r="G69" s="313"/>
      <c r="H69" s="341"/>
      <c r="I69" s="341"/>
      <c r="J69" s="341"/>
      <c r="K69" s="341"/>
      <c r="L69" s="341">
        <f t="shared" si="5"/>
        <v>0</v>
      </c>
    </row>
    <row r="70" spans="1:12" ht="51.75" customHeight="1" hidden="1">
      <c r="A70" s="497"/>
      <c r="B70" s="498"/>
      <c r="C70" s="628">
        <f>E70+F70+G70</f>
        <v>0</v>
      </c>
      <c r="D70" s="629"/>
      <c r="E70" s="313"/>
      <c r="F70" s="313"/>
      <c r="G70" s="313"/>
      <c r="H70" s="341"/>
      <c r="I70" s="341"/>
      <c r="J70" s="341"/>
      <c r="K70" s="341"/>
      <c r="L70" s="341">
        <f t="shared" si="5"/>
        <v>0</v>
      </c>
    </row>
    <row r="71" spans="1:12" ht="21.75" customHeight="1">
      <c r="A71" s="523" t="s">
        <v>355</v>
      </c>
      <c r="B71" s="646"/>
      <c r="C71" s="646"/>
      <c r="D71" s="646"/>
      <c r="E71" s="646"/>
      <c r="F71" s="646"/>
      <c r="G71" s="524"/>
      <c r="L71" s="341"/>
    </row>
    <row r="72" spans="1:12" s="315" customFormat="1" ht="66" customHeight="1">
      <c r="A72" s="642" t="s">
        <v>360</v>
      </c>
      <c r="B72" s="643"/>
      <c r="C72" s="644">
        <f>C73+C79</f>
        <v>32888.62188</v>
      </c>
      <c r="D72" s="645"/>
      <c r="E72" s="308">
        <f>E73+E79</f>
        <v>2473.83866</v>
      </c>
      <c r="F72" s="308">
        <f>F73+F79</f>
        <v>1308.1791399999997</v>
      </c>
      <c r="G72" s="308">
        <f>G73+G79</f>
        <v>2495.9685799999997</v>
      </c>
      <c r="H72" s="344"/>
      <c r="I72" s="344"/>
      <c r="J72" s="344"/>
      <c r="K72" s="344"/>
      <c r="L72" s="344"/>
    </row>
    <row r="73" spans="1:7" ht="66.75" customHeight="1">
      <c r="A73" s="636" t="s">
        <v>361</v>
      </c>
      <c r="B73" s="637"/>
      <c r="C73" s="638">
        <f>SUM(C74:D78)</f>
        <v>31605.634879999998</v>
      </c>
      <c r="D73" s="639"/>
      <c r="E73" s="309">
        <f>SUM(E74:E78)</f>
        <v>2300.83666</v>
      </c>
      <c r="F73" s="309">
        <f>SUM(F74:F78)</f>
        <v>1124.0011399999999</v>
      </c>
      <c r="G73" s="309">
        <f>SUM(G74:G78)</f>
        <v>2495.9685799999997</v>
      </c>
    </row>
    <row r="74" spans="1:7" ht="24.75" customHeight="1">
      <c r="A74" s="635" t="s">
        <v>362</v>
      </c>
      <c r="B74" s="634"/>
      <c r="C74" s="628">
        <f>E74+F74+G74</f>
        <v>0</v>
      </c>
      <c r="D74" s="629"/>
      <c r="E74" s="311">
        <f>касса!K35/1000</f>
        <v>0</v>
      </c>
      <c r="F74" s="311">
        <f>касса!L35/1000</f>
        <v>0</v>
      </c>
      <c r="G74" s="311">
        <f>касса!M35/1000</f>
        <v>0</v>
      </c>
    </row>
    <row r="75" spans="1:7" ht="27" customHeight="1">
      <c r="A75" s="635" t="s">
        <v>390</v>
      </c>
      <c r="B75" s="634"/>
      <c r="C75" s="628">
        <f>E75+F75+G75</f>
        <v>0</v>
      </c>
      <c r="D75" s="629"/>
      <c r="E75" s="311">
        <f>касса!K34/1000</f>
        <v>0</v>
      </c>
      <c r="F75" s="311">
        <f>касса!L34/1000</f>
        <v>0</v>
      </c>
      <c r="G75" s="311">
        <f>касса!M34/1000</f>
        <v>0</v>
      </c>
    </row>
    <row r="76" spans="1:7" ht="25.5" customHeight="1">
      <c r="A76" s="635" t="s">
        <v>363</v>
      </c>
      <c r="B76" s="634"/>
      <c r="C76" s="628">
        <f>14231.801+E76+F76+G76</f>
        <v>17700.56932</v>
      </c>
      <c r="D76" s="629"/>
      <c r="E76" s="311">
        <f>касса!K33/1000</f>
        <v>1079.224</v>
      </c>
      <c r="F76" s="311">
        <f>касса!L33/1000</f>
        <v>536.106</v>
      </c>
      <c r="G76" s="311">
        <f>касса!M33/1000</f>
        <v>1853.43832</v>
      </c>
    </row>
    <row r="77" spans="1:7" ht="15.75" customHeight="1">
      <c r="A77" s="635" t="s">
        <v>364</v>
      </c>
      <c r="B77" s="634"/>
      <c r="C77" s="628">
        <f>4423.7115+E77+F77+G77</f>
        <v>5703.11988</v>
      </c>
      <c r="D77" s="629"/>
      <c r="E77" s="311">
        <f>касса!K39/1000</f>
        <v>778.83266</v>
      </c>
      <c r="F77" s="311">
        <f>касса!L39/1000</f>
        <v>197.41914000000003</v>
      </c>
      <c r="G77" s="311">
        <f>касса!M39/1000</f>
        <v>303.15658</v>
      </c>
    </row>
    <row r="78" spans="1:7" ht="19.5" customHeight="1">
      <c r="A78" s="635" t="s">
        <v>365</v>
      </c>
      <c r="B78" s="634"/>
      <c r="C78" s="628">
        <f>7029.316+E78+F78+G78</f>
        <v>8201.945679999999</v>
      </c>
      <c r="D78" s="629"/>
      <c r="E78" s="311">
        <f>касса!K38/1000</f>
        <v>442.78</v>
      </c>
      <c r="F78" s="311">
        <f>касса!L38/1000</f>
        <v>390.476</v>
      </c>
      <c r="G78" s="311">
        <f>касса!M38/1000</f>
        <v>339.3736799999999</v>
      </c>
    </row>
    <row r="79" spans="1:7" ht="16.5" customHeight="1">
      <c r="A79" s="636" t="s">
        <v>366</v>
      </c>
      <c r="B79" s="637"/>
      <c r="C79" s="638">
        <f>C80</f>
        <v>1282.987</v>
      </c>
      <c r="D79" s="639"/>
      <c r="E79" s="309">
        <f>E80</f>
        <v>173.002</v>
      </c>
      <c r="F79" s="309">
        <f>F80</f>
        <v>184.178</v>
      </c>
      <c r="G79" s="309">
        <f>G80</f>
        <v>0</v>
      </c>
    </row>
    <row r="80" spans="1:7" ht="12.75">
      <c r="A80" s="635" t="s">
        <v>354</v>
      </c>
      <c r="B80" s="634"/>
      <c r="C80" s="628">
        <f>925.807+E80+F80+G80</f>
        <v>1282.987</v>
      </c>
      <c r="D80" s="629"/>
      <c r="E80" s="311">
        <f>касса!K42/1000</f>
        <v>173.002</v>
      </c>
      <c r="F80" s="311">
        <f>касса!L42/1000</f>
        <v>184.178</v>
      </c>
      <c r="G80" s="311">
        <f>касса!M42/1000</f>
        <v>0</v>
      </c>
    </row>
    <row r="81" spans="1:7" ht="69.75" customHeight="1">
      <c r="A81" s="636" t="s">
        <v>367</v>
      </c>
      <c r="B81" s="637"/>
      <c r="C81" s="640">
        <f>SUM(C82:D100)</f>
        <v>1639.3999199999998</v>
      </c>
      <c r="D81" s="641"/>
      <c r="E81" s="314">
        <f>SUM(E82:E100)</f>
        <v>253.57004</v>
      </c>
      <c r="F81" s="314">
        <f>SUM(F82:F100)</f>
        <v>147.03772</v>
      </c>
      <c r="G81" s="314">
        <f>SUM(G82:G100)</f>
        <v>1.68</v>
      </c>
    </row>
    <row r="82" spans="1:7" ht="81" customHeight="1">
      <c r="A82" s="635" t="str">
        <f>A52</f>
        <v>Обеспечение обучающихся 1-11 классов горячим питанием</v>
      </c>
      <c r="B82" s="634"/>
      <c r="C82" s="628">
        <f>1170.591+E82+F82+G82</f>
        <v>1425.6267199999998</v>
      </c>
      <c r="D82" s="629"/>
      <c r="E82" s="313">
        <v>108.358</v>
      </c>
      <c r="F82" s="313">
        <v>146.67772</v>
      </c>
      <c r="G82" s="313">
        <v>0</v>
      </c>
    </row>
    <row r="83" spans="1:7" ht="120" customHeight="1">
      <c r="A83" s="635" t="str">
        <f>A53</f>
        <v>Организация питания детей в оздоровительных лагерях с дневным пребыванием детей в каникулярное время</v>
      </c>
      <c r="B83" s="634"/>
      <c r="C83" s="628">
        <f>5.04+E83+F83+G83</f>
        <v>8.836</v>
      </c>
      <c r="D83" s="629"/>
      <c r="E83" s="313">
        <v>1.756</v>
      </c>
      <c r="F83" s="313">
        <v>0.36</v>
      </c>
      <c r="G83" s="313">
        <v>1.68</v>
      </c>
    </row>
    <row r="84" spans="1:7" ht="27.75" customHeight="1">
      <c r="A84" s="635" t="str">
        <f>A56</f>
        <v>Приведение зданий, сооружений и территории учреждений общего и дополнительного образования в соответствие с современными требованиями и нормами</v>
      </c>
      <c r="B84" s="634"/>
      <c r="C84" s="628">
        <f>61.48116+E84+F84+G84</f>
        <v>204.93720000000002</v>
      </c>
      <c r="D84" s="629"/>
      <c r="E84" s="313">
        <v>143.45604</v>
      </c>
      <c r="F84" s="313">
        <v>0</v>
      </c>
      <c r="G84" s="313">
        <v>0</v>
      </c>
    </row>
    <row r="85" spans="1:7" ht="27" customHeight="1" hidden="1">
      <c r="A85" s="635"/>
      <c r="B85" s="634"/>
      <c r="C85" s="628">
        <f aca="true" t="shared" si="6" ref="C85:C93">E85+F85+G85</f>
        <v>0</v>
      </c>
      <c r="D85" s="629"/>
      <c r="E85" s="313"/>
      <c r="F85" s="313"/>
      <c r="G85" s="313"/>
    </row>
    <row r="86" spans="1:7" ht="12.75" hidden="1">
      <c r="A86" s="635"/>
      <c r="B86" s="634"/>
      <c r="C86" s="628">
        <f t="shared" si="6"/>
        <v>0</v>
      </c>
      <c r="D86" s="629"/>
      <c r="E86" s="313"/>
      <c r="F86" s="313"/>
      <c r="G86" s="313"/>
    </row>
    <row r="87" spans="1:7" ht="12.75" hidden="1">
      <c r="A87" s="635"/>
      <c r="B87" s="634"/>
      <c r="C87" s="628">
        <f t="shared" si="6"/>
        <v>0</v>
      </c>
      <c r="D87" s="629"/>
      <c r="E87" s="313"/>
      <c r="F87" s="313"/>
      <c r="G87" s="313"/>
    </row>
    <row r="88" spans="1:7" ht="27.75" customHeight="1" hidden="1">
      <c r="A88" s="635"/>
      <c r="B88" s="634"/>
      <c r="C88" s="628">
        <f t="shared" si="6"/>
        <v>0</v>
      </c>
      <c r="D88" s="629"/>
      <c r="E88" s="313"/>
      <c r="F88" s="313"/>
      <c r="G88" s="313"/>
    </row>
    <row r="89" spans="1:7" ht="36.75" customHeight="1" hidden="1">
      <c r="A89" s="635"/>
      <c r="B89" s="634"/>
      <c r="C89" s="628">
        <f t="shared" si="6"/>
        <v>0</v>
      </c>
      <c r="D89" s="629"/>
      <c r="E89" s="313"/>
      <c r="F89" s="313"/>
      <c r="G89" s="313"/>
    </row>
    <row r="90" spans="1:7" ht="27" customHeight="1" hidden="1">
      <c r="A90" s="635"/>
      <c r="B90" s="634"/>
      <c r="C90" s="628">
        <f t="shared" si="6"/>
        <v>0</v>
      </c>
      <c r="D90" s="629"/>
      <c r="E90" s="313"/>
      <c r="F90" s="313"/>
      <c r="G90" s="313"/>
    </row>
    <row r="91" spans="1:7" ht="48" customHeight="1" hidden="1">
      <c r="A91" s="630"/>
      <c r="B91" s="630"/>
      <c r="C91" s="628">
        <f t="shared" si="6"/>
        <v>0</v>
      </c>
      <c r="D91" s="629"/>
      <c r="E91" s="313"/>
      <c r="F91" s="313"/>
      <c r="G91" s="313"/>
    </row>
    <row r="92" spans="1:7" ht="69.75" customHeight="1" hidden="1">
      <c r="A92" s="630"/>
      <c r="B92" s="630"/>
      <c r="C92" s="628">
        <f t="shared" si="6"/>
        <v>0</v>
      </c>
      <c r="D92" s="629"/>
      <c r="E92" s="313"/>
      <c r="F92" s="313"/>
      <c r="G92" s="313"/>
    </row>
    <row r="93" spans="1:7" ht="60" customHeight="1" hidden="1">
      <c r="A93" s="630"/>
      <c r="B93" s="630"/>
      <c r="C93" s="628">
        <f t="shared" si="6"/>
        <v>0</v>
      </c>
      <c r="D93" s="629"/>
      <c r="E93" s="313"/>
      <c r="F93" s="313"/>
      <c r="G93" s="313"/>
    </row>
    <row r="94" spans="1:7" ht="12.75" hidden="1">
      <c r="A94" s="631" t="s">
        <v>338</v>
      </c>
      <c r="B94" s="631"/>
      <c r="C94" s="631"/>
      <c r="D94" s="631"/>
      <c r="E94" s="631"/>
      <c r="F94" s="631"/>
      <c r="G94" s="632"/>
    </row>
    <row r="95" spans="1:7" ht="12.75" hidden="1">
      <c r="A95" s="633" t="s">
        <v>126</v>
      </c>
      <c r="B95" s="634"/>
      <c r="C95" s="628">
        <f>E95+F95+G95</f>
        <v>0</v>
      </c>
      <c r="D95" s="629"/>
      <c r="E95" s="313"/>
      <c r="F95" s="313"/>
      <c r="G95" s="313"/>
    </row>
    <row r="96" spans="1:7" ht="15.75" customHeight="1" hidden="1">
      <c r="A96" s="420" t="s">
        <v>339</v>
      </c>
      <c r="B96" s="421"/>
      <c r="C96" s="421"/>
      <c r="D96" s="421"/>
      <c r="E96" s="421"/>
      <c r="F96" s="421"/>
      <c r="G96" s="421"/>
    </row>
    <row r="97" spans="1:7" ht="49.5" customHeight="1" hidden="1">
      <c r="A97" s="633"/>
      <c r="B97" s="634"/>
      <c r="C97" s="628">
        <f>E97+F97+G97</f>
        <v>0</v>
      </c>
      <c r="D97" s="629"/>
      <c r="E97" s="313"/>
      <c r="F97" s="313"/>
      <c r="G97" s="313"/>
    </row>
    <row r="98" spans="1:7" ht="12.75" customHeight="1" hidden="1">
      <c r="A98" s="633"/>
      <c r="B98" s="634"/>
      <c r="C98" s="628">
        <f>E98+F98+G98</f>
        <v>0</v>
      </c>
      <c r="D98" s="629"/>
      <c r="E98" s="313"/>
      <c r="F98" s="313"/>
      <c r="G98" s="313"/>
    </row>
    <row r="99" spans="1:7" ht="25.5" customHeight="1" hidden="1">
      <c r="A99" s="633"/>
      <c r="B99" s="634"/>
      <c r="C99" s="628">
        <f>E99+F99+G99</f>
        <v>0</v>
      </c>
      <c r="D99" s="629"/>
      <c r="E99" s="313"/>
      <c r="F99" s="313"/>
      <c r="G99" s="313"/>
    </row>
    <row r="100" spans="1:7" ht="3" customHeight="1" hidden="1">
      <c r="A100" s="497"/>
      <c r="B100" s="498"/>
      <c r="C100" s="628">
        <f>E100+F100+G100</f>
        <v>0</v>
      </c>
      <c r="D100" s="629"/>
      <c r="E100" s="313"/>
      <c r="F100" s="313"/>
      <c r="G100" s="313"/>
    </row>
    <row r="102" spans="5:7" ht="12.75">
      <c r="E102" s="312"/>
      <c r="F102" s="312"/>
      <c r="G102" s="312"/>
    </row>
    <row r="103" spans="1:7" ht="13.5">
      <c r="A103" s="303" t="s">
        <v>369</v>
      </c>
      <c r="B103" s="303"/>
      <c r="C103" s="303"/>
      <c r="D103" s="316"/>
      <c r="E103" s="303"/>
      <c r="F103" s="303"/>
      <c r="G103" s="316"/>
    </row>
    <row r="104" spans="1:7" ht="13.5" hidden="1">
      <c r="A104" s="303"/>
      <c r="B104" s="303"/>
      <c r="C104" s="303"/>
      <c r="D104" s="316"/>
      <c r="E104" s="303"/>
      <c r="F104" s="303"/>
      <c r="G104" s="316"/>
    </row>
    <row r="105" spans="1:7" ht="13.5">
      <c r="A105" s="303" t="s">
        <v>370</v>
      </c>
      <c r="B105" s="303"/>
      <c r="C105" s="303"/>
      <c r="D105" s="303"/>
      <c r="E105" s="303"/>
      <c r="F105" s="303"/>
      <c r="G105" s="316"/>
    </row>
    <row r="106" s="266" customFormat="1" ht="15.75" customHeight="1">
      <c r="E106" s="317"/>
    </row>
    <row r="107" spans="1:6" s="266" customFormat="1" ht="40.5" customHeight="1">
      <c r="A107" s="655" t="s">
        <v>371</v>
      </c>
      <c r="B107" s="655" t="s">
        <v>82</v>
      </c>
      <c r="C107" s="658" t="s">
        <v>372</v>
      </c>
      <c r="D107" s="659"/>
      <c r="E107" s="656" t="s">
        <v>373</v>
      </c>
      <c r="F107" s="656"/>
    </row>
    <row r="108" spans="1:7" ht="12.75">
      <c r="A108" s="655"/>
      <c r="B108" s="655"/>
      <c r="C108" s="660"/>
      <c r="D108" s="661"/>
      <c r="E108" s="656"/>
      <c r="F108" s="656"/>
      <c r="G108" s="266"/>
    </row>
    <row r="109" spans="1:7" ht="12.75">
      <c r="A109" s="318"/>
      <c r="B109" s="67" t="s">
        <v>374</v>
      </c>
      <c r="C109" s="523" t="s">
        <v>374</v>
      </c>
      <c r="D109" s="524"/>
      <c r="E109" s="654"/>
      <c r="F109" s="654"/>
      <c r="G109" s="266"/>
    </row>
    <row r="110" spans="1:7" ht="12.75">
      <c r="A110" s="318"/>
      <c r="B110" s="67"/>
      <c r="C110" s="523"/>
      <c r="D110" s="524"/>
      <c r="E110" s="654"/>
      <c r="F110" s="654"/>
      <c r="G110" s="266"/>
    </row>
    <row r="111" spans="1:7" s="303" customFormat="1" ht="13.5">
      <c r="A111" s="318"/>
      <c r="B111" s="67"/>
      <c r="C111" s="523"/>
      <c r="D111" s="524"/>
      <c r="E111" s="654"/>
      <c r="F111" s="654"/>
      <c r="G111" s="266"/>
    </row>
    <row r="112" ht="14.25">
      <c r="E112" s="319"/>
    </row>
    <row r="113" spans="1:7" s="266" customFormat="1" ht="14.25">
      <c r="A113" s="294"/>
      <c r="B113" s="294"/>
      <c r="C113" s="294"/>
      <c r="D113" s="294"/>
      <c r="E113" s="319"/>
      <c r="F113" s="294"/>
      <c r="G113" s="294"/>
    </row>
    <row r="114" spans="1:7" s="266" customFormat="1" ht="42" customHeight="1">
      <c r="A114" s="303" t="s">
        <v>375</v>
      </c>
      <c r="B114" s="303"/>
      <c r="C114" s="303"/>
      <c r="D114" s="303"/>
      <c r="E114" s="317"/>
      <c r="F114" s="303"/>
      <c r="G114" s="303"/>
    </row>
    <row r="115" ht="14.25">
      <c r="E115" s="319"/>
    </row>
    <row r="116" spans="1:7" s="326" customFormat="1" ht="13.5" customHeight="1">
      <c r="A116" s="655" t="s">
        <v>371</v>
      </c>
      <c r="B116" s="655" t="s">
        <v>82</v>
      </c>
      <c r="C116" s="658" t="s">
        <v>376</v>
      </c>
      <c r="D116" s="659"/>
      <c r="E116" s="656" t="s">
        <v>377</v>
      </c>
      <c r="F116" s="656"/>
      <c r="G116" s="294"/>
    </row>
    <row r="117" spans="1:7" s="326" customFormat="1" ht="13.5">
      <c r="A117" s="655"/>
      <c r="B117" s="655"/>
      <c r="C117" s="660"/>
      <c r="D117" s="661"/>
      <c r="E117" s="656"/>
      <c r="F117" s="656"/>
      <c r="G117" s="294"/>
    </row>
    <row r="118" spans="1:7" s="266" customFormat="1" ht="12.75">
      <c r="A118" s="318"/>
      <c r="B118" s="67" t="s">
        <v>374</v>
      </c>
      <c r="C118" s="523" t="s">
        <v>374</v>
      </c>
      <c r="D118" s="524"/>
      <c r="E118" s="654"/>
      <c r="F118" s="654"/>
      <c r="G118" s="294"/>
    </row>
    <row r="119" spans="1:7" s="266" customFormat="1" ht="12.75">
      <c r="A119" s="318"/>
      <c r="B119" s="67"/>
      <c r="C119" s="523"/>
      <c r="D119" s="524"/>
      <c r="E119" s="654"/>
      <c r="F119" s="654"/>
      <c r="G119" s="294"/>
    </row>
    <row r="120" spans="1:7" s="320" customFormat="1" ht="17.25" customHeight="1">
      <c r="A120" s="318"/>
      <c r="B120" s="67"/>
      <c r="C120" s="523"/>
      <c r="D120" s="524"/>
      <c r="E120" s="654"/>
      <c r="F120" s="654"/>
      <c r="G120" s="294"/>
    </row>
    <row r="121" ht="14.25">
      <c r="E121" s="319"/>
    </row>
    <row r="122" ht="14.25">
      <c r="E122" s="319"/>
    </row>
    <row r="123" spans="1:7" ht="17.25" customHeight="1">
      <c r="A123" s="303" t="s">
        <v>378</v>
      </c>
      <c r="B123" s="303"/>
      <c r="C123" s="320"/>
      <c r="D123" s="320"/>
      <c r="E123" s="319"/>
      <c r="F123" s="320"/>
      <c r="G123" s="320"/>
    </row>
    <row r="124" ht="17.25" customHeight="1">
      <c r="E124" s="319"/>
    </row>
    <row r="125" spans="1:7" ht="42" customHeight="1">
      <c r="A125" s="655" t="s">
        <v>371</v>
      </c>
      <c r="B125" s="655" t="s">
        <v>379</v>
      </c>
      <c r="C125" s="655" t="s">
        <v>66</v>
      </c>
      <c r="D125" s="655" t="s">
        <v>55</v>
      </c>
      <c r="E125" s="656" t="s">
        <v>56</v>
      </c>
      <c r="F125" s="657" t="s">
        <v>380</v>
      </c>
      <c r="G125" s="266"/>
    </row>
    <row r="126" spans="1:7" ht="12.75" customHeight="1">
      <c r="A126" s="655"/>
      <c r="B126" s="655"/>
      <c r="C126" s="655"/>
      <c r="D126" s="655"/>
      <c r="E126" s="656"/>
      <c r="F126" s="657"/>
      <c r="G126" s="266"/>
    </row>
    <row r="127" spans="1:7" ht="43.5" customHeight="1">
      <c r="A127" s="318">
        <v>1</v>
      </c>
      <c r="B127" s="253" t="s">
        <v>414</v>
      </c>
      <c r="C127" s="265"/>
      <c r="D127" s="305" t="s">
        <v>415</v>
      </c>
      <c r="E127" s="321"/>
      <c r="F127" s="391">
        <v>1</v>
      </c>
      <c r="G127" s="266"/>
    </row>
    <row r="128" spans="1:7" s="266" customFormat="1" ht="39" customHeight="1">
      <c r="A128" s="318">
        <v>2</v>
      </c>
      <c r="B128" s="253" t="s">
        <v>416</v>
      </c>
      <c r="C128" s="265"/>
      <c r="D128" s="305" t="s">
        <v>417</v>
      </c>
      <c r="E128" s="318"/>
      <c r="F128" s="391">
        <v>1</v>
      </c>
      <c r="G128" s="294"/>
    </row>
    <row r="129" spans="1:6" ht="78.75">
      <c r="A129" s="318">
        <v>3</v>
      </c>
      <c r="B129" s="253" t="s">
        <v>418</v>
      </c>
      <c r="C129" s="322"/>
      <c r="D129" s="305" t="s">
        <v>419</v>
      </c>
      <c r="E129" s="318"/>
      <c r="F129" s="391">
        <v>1</v>
      </c>
    </row>
    <row r="130" spans="1:6" ht="26.25">
      <c r="A130" s="318">
        <v>4</v>
      </c>
      <c r="B130" s="253" t="s">
        <v>420</v>
      </c>
      <c r="C130" s="265"/>
      <c r="D130" s="318" t="s">
        <v>421</v>
      </c>
      <c r="E130" s="318"/>
      <c r="F130" s="393">
        <v>0.98</v>
      </c>
    </row>
    <row r="131" spans="1:6" ht="27.75" customHeight="1">
      <c r="A131" s="318">
        <v>5</v>
      </c>
      <c r="B131" s="253" t="s">
        <v>422</v>
      </c>
      <c r="C131" s="265"/>
      <c r="D131" s="392">
        <v>1</v>
      </c>
      <c r="E131" s="307"/>
      <c r="F131" s="393">
        <v>1</v>
      </c>
    </row>
    <row r="132" spans="1:7" s="303" customFormat="1" ht="27.75" customHeight="1">
      <c r="A132" s="323"/>
      <c r="B132" s="324"/>
      <c r="C132" s="325"/>
      <c r="D132" s="325"/>
      <c r="E132" s="325"/>
      <c r="F132" s="294"/>
      <c r="G132" s="294"/>
    </row>
    <row r="133" spans="1:5" ht="12.75">
      <c r="A133" s="323"/>
      <c r="B133" s="324"/>
      <c r="C133" s="325"/>
      <c r="D133" s="325"/>
      <c r="E133" s="325"/>
    </row>
    <row r="134" spans="1:5" ht="12.75">
      <c r="A134" s="323"/>
      <c r="B134" s="324"/>
      <c r="C134" s="325"/>
      <c r="D134" s="325"/>
      <c r="E134" s="325"/>
    </row>
    <row r="135" spans="1:7" ht="16.5" customHeight="1">
      <c r="A135" s="303" t="s">
        <v>381</v>
      </c>
      <c r="B135" s="303"/>
      <c r="C135" s="303"/>
      <c r="D135" s="303"/>
      <c r="E135" s="303"/>
      <c r="F135" s="303"/>
      <c r="G135" s="303"/>
    </row>
    <row r="136" ht="15.75" customHeight="1"/>
    <row r="137" spans="1:7" ht="52.5">
      <c r="A137" s="649" t="s">
        <v>382</v>
      </c>
      <c r="B137" s="649"/>
      <c r="C137" s="305" t="s">
        <v>71</v>
      </c>
      <c r="D137" s="495" t="s">
        <v>383</v>
      </c>
      <c r="E137" s="496"/>
      <c r="F137" s="305" t="s">
        <v>384</v>
      </c>
      <c r="G137" s="266"/>
    </row>
    <row r="138" spans="1:7" ht="12.75">
      <c r="A138" s="650" t="s">
        <v>108</v>
      </c>
      <c r="B138" s="650"/>
      <c r="C138" s="305" t="s">
        <v>413</v>
      </c>
      <c r="D138" s="651">
        <f>C72+C81</f>
        <v>34528.0218</v>
      </c>
      <c r="E138" s="652"/>
      <c r="F138" s="318">
        <f>D31</f>
        <v>1280</v>
      </c>
      <c r="G138" s="266"/>
    </row>
    <row r="140" spans="1:7" ht="14.25" thickBot="1">
      <c r="A140" s="326"/>
      <c r="B140" s="326"/>
      <c r="C140" s="326"/>
      <c r="D140" s="326"/>
      <c r="E140" s="326"/>
      <c r="F140" s="326"/>
      <c r="G140" s="326"/>
    </row>
    <row r="141" spans="1:7" ht="13.5">
      <c r="A141" s="327" t="s">
        <v>64</v>
      </c>
      <c r="B141" s="328" t="s">
        <v>385</v>
      </c>
      <c r="C141" s="326"/>
      <c r="D141" s="326"/>
      <c r="E141" s="326"/>
      <c r="F141" s="326"/>
      <c r="G141" s="326"/>
    </row>
    <row r="142" s="266" customFormat="1" ht="13.5">
      <c r="A142" s="303" t="s">
        <v>386</v>
      </c>
    </row>
    <row r="143" s="266" customFormat="1" ht="13.5">
      <c r="A143" s="303"/>
    </row>
    <row r="144" spans="1:7" s="266" customFormat="1" ht="13.5">
      <c r="A144" s="653" t="s">
        <v>387</v>
      </c>
      <c r="B144" s="653"/>
      <c r="C144" s="653"/>
      <c r="D144" s="653"/>
      <c r="E144" s="653"/>
      <c r="F144" s="653"/>
      <c r="G144" s="320"/>
    </row>
    <row r="145" ht="21" customHeight="1"/>
    <row r="146" spans="1:6" ht="16.5" customHeight="1">
      <c r="A146" s="329"/>
      <c r="B146" s="329" t="s">
        <v>400</v>
      </c>
      <c r="C146" s="329"/>
      <c r="D146" s="329"/>
      <c r="E146" s="329"/>
      <c r="F146" s="329"/>
    </row>
    <row r="147" spans="1:6" ht="12.75" customHeight="1">
      <c r="A147" s="330"/>
      <c r="B147" s="330"/>
      <c r="C147" s="330"/>
      <c r="D147" s="330"/>
      <c r="E147" s="330"/>
      <c r="F147" s="330"/>
    </row>
    <row r="148" spans="1:6" ht="12.75" customHeight="1">
      <c r="A148" s="330"/>
      <c r="B148" s="330"/>
      <c r="C148" s="330"/>
      <c r="D148" s="330"/>
      <c r="E148" s="330"/>
      <c r="F148" s="330"/>
    </row>
    <row r="149" spans="1:6" ht="12.75" customHeight="1">
      <c r="A149" s="325"/>
      <c r="B149" s="325"/>
      <c r="C149" s="325"/>
      <c r="D149" s="325"/>
      <c r="E149" s="325"/>
      <c r="F149" s="325"/>
    </row>
    <row r="150" ht="12" customHeight="1"/>
    <row r="151" ht="12" customHeight="1"/>
    <row r="152" spans="1:7" ht="13.5" customHeight="1">
      <c r="A152" s="653" t="s">
        <v>388</v>
      </c>
      <c r="B152" s="653"/>
      <c r="C152" s="653"/>
      <c r="D152" s="653"/>
      <c r="E152" s="653"/>
      <c r="F152" s="653"/>
      <c r="G152" s="266"/>
    </row>
    <row r="154" spans="1:6" ht="12.75">
      <c r="A154" s="329"/>
      <c r="B154" s="331" t="s">
        <v>425</v>
      </c>
      <c r="C154" s="329"/>
      <c r="D154" s="329"/>
      <c r="E154" s="329"/>
      <c r="F154" s="329"/>
    </row>
    <row r="155" spans="1:6" ht="12.75">
      <c r="A155" s="330"/>
      <c r="B155" s="330"/>
      <c r="C155" s="330"/>
      <c r="D155" s="330"/>
      <c r="E155" s="330"/>
      <c r="F155" s="330"/>
    </row>
    <row r="156" spans="1:6" ht="12.75">
      <c r="A156" s="330"/>
      <c r="B156" s="330"/>
      <c r="C156" s="330"/>
      <c r="D156" s="330"/>
      <c r="E156" s="330"/>
      <c r="F156" s="330"/>
    </row>
    <row r="157" spans="1:5" ht="12.75">
      <c r="A157" s="325"/>
      <c r="B157" s="325"/>
      <c r="C157" s="325"/>
      <c r="D157" s="325"/>
      <c r="E157" s="325"/>
    </row>
    <row r="159" spans="1:7" ht="13.5">
      <c r="A159" s="303" t="s">
        <v>389</v>
      </c>
      <c r="B159" s="303"/>
      <c r="C159" s="303"/>
      <c r="D159" s="303"/>
      <c r="E159" s="303"/>
      <c r="F159" s="303"/>
      <c r="G159" s="303"/>
    </row>
    <row r="161" spans="1:6" ht="12.75">
      <c r="A161" s="331"/>
      <c r="B161" s="331" t="s">
        <v>401</v>
      </c>
      <c r="C161" s="331"/>
      <c r="D161" s="331"/>
      <c r="E161" s="331"/>
      <c r="F161" s="329"/>
    </row>
    <row r="162" spans="1:6" ht="12.75">
      <c r="A162" s="330"/>
      <c r="B162" s="330"/>
      <c r="C162" s="330"/>
      <c r="D162" s="330"/>
      <c r="E162" s="330"/>
      <c r="F162" s="330"/>
    </row>
    <row r="163" spans="1:6" ht="12.75">
      <c r="A163" s="330"/>
      <c r="B163" s="330"/>
      <c r="C163" s="330"/>
      <c r="D163" s="330"/>
      <c r="E163" s="330"/>
      <c r="F163" s="330"/>
    </row>
    <row r="164" spans="1:5" ht="12.75">
      <c r="A164" s="325"/>
      <c r="B164" s="325"/>
      <c r="C164" s="325"/>
      <c r="D164" s="325"/>
      <c r="E164" s="325"/>
    </row>
    <row r="165" spans="1:5" ht="12.75">
      <c r="A165" s="325"/>
      <c r="B165" s="325"/>
      <c r="C165" s="325"/>
      <c r="D165" s="325"/>
      <c r="E165" s="325"/>
    </row>
    <row r="166" spans="1:5" ht="12.75">
      <c r="A166" s="325"/>
      <c r="B166" s="325"/>
      <c r="C166" s="325"/>
      <c r="D166" s="325"/>
      <c r="E166" s="325"/>
    </row>
    <row r="169" spans="1:7" ht="16.5">
      <c r="A169" s="647" t="s">
        <v>402</v>
      </c>
      <c r="B169" s="647"/>
      <c r="C169" s="648" t="s">
        <v>396</v>
      </c>
      <c r="D169" s="648"/>
      <c r="E169" s="648"/>
      <c r="F169" s="266" t="s">
        <v>84</v>
      </c>
      <c r="G169" s="266"/>
    </row>
    <row r="170" spans="1:7" ht="16.5">
      <c r="A170" s="332"/>
      <c r="B170" s="333"/>
      <c r="C170" s="333"/>
      <c r="D170" s="333"/>
      <c r="E170" s="266"/>
      <c r="F170" s="266"/>
      <c r="G170" s="266"/>
    </row>
    <row r="171" spans="1:7" ht="16.5">
      <c r="A171" s="332"/>
      <c r="B171" s="304" t="s">
        <v>82</v>
      </c>
      <c r="C171" s="334"/>
      <c r="D171" s="304" t="s">
        <v>83</v>
      </c>
      <c r="E171" s="335"/>
      <c r="F171" s="266"/>
      <c r="G171" s="266"/>
    </row>
    <row r="172" spans="1:3" ht="16.5">
      <c r="A172" s="336"/>
      <c r="B172" s="337"/>
      <c r="C172" s="337"/>
    </row>
    <row r="173" spans="1:3" ht="16.5">
      <c r="A173" s="336"/>
      <c r="B173" s="337"/>
      <c r="C173" s="337"/>
    </row>
    <row r="174" spans="2:3" ht="14.25">
      <c r="B174" s="337"/>
      <c r="C174" s="337"/>
    </row>
    <row r="175" spans="2:3" ht="14.25">
      <c r="B175" s="337"/>
      <c r="C175" s="337"/>
    </row>
    <row r="176" spans="2:3" ht="14.25">
      <c r="B176" s="337"/>
      <c r="C176" s="337"/>
    </row>
    <row r="177" spans="2:3" ht="14.25">
      <c r="B177" s="337"/>
      <c r="C177" s="337"/>
    </row>
    <row r="178" ht="14.25">
      <c r="C178" s="337"/>
    </row>
    <row r="179" ht="14.25">
      <c r="C179" s="337"/>
    </row>
  </sheetData>
  <sheetProtection/>
  <mergeCells count="165">
    <mergeCell ref="A61:B61"/>
    <mergeCell ref="C61:D61"/>
    <mergeCell ref="A63:B63"/>
    <mergeCell ref="C63:D63"/>
    <mergeCell ref="A93:B93"/>
    <mergeCell ref="C93:D93"/>
    <mergeCell ref="A92:B92"/>
    <mergeCell ref="C92:D92"/>
    <mergeCell ref="C62:D62"/>
    <mergeCell ref="C70:D70"/>
    <mergeCell ref="A13:G13"/>
    <mergeCell ref="A14:G14"/>
    <mergeCell ref="A24:B24"/>
    <mergeCell ref="E24:G24"/>
    <mergeCell ref="A25:G25"/>
    <mergeCell ref="A26:B26"/>
    <mergeCell ref="A27:B27"/>
    <mergeCell ref="A28:B28"/>
    <mergeCell ref="A29:B29"/>
    <mergeCell ref="A30:G30"/>
    <mergeCell ref="A31:B31"/>
    <mergeCell ref="A32:B32"/>
    <mergeCell ref="A33:B33"/>
    <mergeCell ref="A34:B34"/>
    <mergeCell ref="A40:B40"/>
    <mergeCell ref="C40:D40"/>
    <mergeCell ref="E40:G40"/>
    <mergeCell ref="A41:G41"/>
    <mergeCell ref="A42:B42"/>
    <mergeCell ref="C42:D42"/>
    <mergeCell ref="A43:B43"/>
    <mergeCell ref="C43:D43"/>
    <mergeCell ref="A44:B44"/>
    <mergeCell ref="C44:D44"/>
    <mergeCell ref="A46:B46"/>
    <mergeCell ref="C46:D46"/>
    <mergeCell ref="A47:B47"/>
    <mergeCell ref="C47:D47"/>
    <mergeCell ref="A48:B48"/>
    <mergeCell ref="C48:D48"/>
    <mergeCell ref="C52:D52"/>
    <mergeCell ref="A52:B52"/>
    <mergeCell ref="A53:B53"/>
    <mergeCell ref="C53:D53"/>
    <mergeCell ref="A49:B49"/>
    <mergeCell ref="C49:D49"/>
    <mergeCell ref="A50:B50"/>
    <mergeCell ref="C50:D50"/>
    <mergeCell ref="A51:B51"/>
    <mergeCell ref="C51:D51"/>
    <mergeCell ref="C56:D56"/>
    <mergeCell ref="A56:B56"/>
    <mergeCell ref="C57:D57"/>
    <mergeCell ref="A54:B54"/>
    <mergeCell ref="C54:D54"/>
    <mergeCell ref="A55:B55"/>
    <mergeCell ref="C55:D55"/>
    <mergeCell ref="C58:D58"/>
    <mergeCell ref="A57:B57"/>
    <mergeCell ref="C59:D59"/>
    <mergeCell ref="A58:B58"/>
    <mergeCell ref="C60:D60"/>
    <mergeCell ref="A60:B60"/>
    <mergeCell ref="A59:B59"/>
    <mergeCell ref="A62:B62"/>
    <mergeCell ref="C67:D67"/>
    <mergeCell ref="C68:D68"/>
    <mergeCell ref="C69:D69"/>
    <mergeCell ref="A66:G66"/>
    <mergeCell ref="A107:A108"/>
    <mergeCell ref="B107:B108"/>
    <mergeCell ref="C107:D108"/>
    <mergeCell ref="E107:F108"/>
    <mergeCell ref="C99:D99"/>
    <mergeCell ref="C109:D109"/>
    <mergeCell ref="E109:F109"/>
    <mergeCell ref="C110:D110"/>
    <mergeCell ref="E110:F110"/>
    <mergeCell ref="C111:D111"/>
    <mergeCell ref="E111:F111"/>
    <mergeCell ref="A116:A117"/>
    <mergeCell ref="B116:B117"/>
    <mergeCell ref="C116:D117"/>
    <mergeCell ref="E116:F117"/>
    <mergeCell ref="C118:D118"/>
    <mergeCell ref="E118:F118"/>
    <mergeCell ref="C119:D119"/>
    <mergeCell ref="E119:F119"/>
    <mergeCell ref="C120:D120"/>
    <mergeCell ref="E120:F120"/>
    <mergeCell ref="A125:A126"/>
    <mergeCell ref="B125:B126"/>
    <mergeCell ref="C125:C126"/>
    <mergeCell ref="D125:D126"/>
    <mergeCell ref="E125:E126"/>
    <mergeCell ref="F125:F126"/>
    <mergeCell ref="A137:B137"/>
    <mergeCell ref="D137:E137"/>
    <mergeCell ref="A138:B138"/>
    <mergeCell ref="D138:E138"/>
    <mergeCell ref="A144:F144"/>
    <mergeCell ref="A152:F152"/>
    <mergeCell ref="A169:B169"/>
    <mergeCell ref="C169:E169"/>
    <mergeCell ref="A45:B45"/>
    <mergeCell ref="C45:D45"/>
    <mergeCell ref="A70:B70"/>
    <mergeCell ref="A64:G64"/>
    <mergeCell ref="A65:B65"/>
    <mergeCell ref="C65:D65"/>
    <mergeCell ref="A96:G96"/>
    <mergeCell ref="A99:B99"/>
    <mergeCell ref="A100:B100"/>
    <mergeCell ref="C100:D100"/>
    <mergeCell ref="A67:B67"/>
    <mergeCell ref="A68:B68"/>
    <mergeCell ref="A69:B69"/>
    <mergeCell ref="A71:G71"/>
    <mergeCell ref="A75:B75"/>
    <mergeCell ref="C75:D75"/>
    <mergeCell ref="A98:B98"/>
    <mergeCell ref="C98:D98"/>
    <mergeCell ref="A72:B72"/>
    <mergeCell ref="C72:D72"/>
    <mergeCell ref="A73:B73"/>
    <mergeCell ref="C73:D73"/>
    <mergeCell ref="A74:B74"/>
    <mergeCell ref="C74:D74"/>
    <mergeCell ref="C81:D81"/>
    <mergeCell ref="A82:B82"/>
    <mergeCell ref="C82:D82"/>
    <mergeCell ref="A83:B83"/>
    <mergeCell ref="A76:B76"/>
    <mergeCell ref="C76:D76"/>
    <mergeCell ref="A77:B77"/>
    <mergeCell ref="C77:D77"/>
    <mergeCell ref="A78:B78"/>
    <mergeCell ref="C78:D78"/>
    <mergeCell ref="C85:D85"/>
    <mergeCell ref="A86:B86"/>
    <mergeCell ref="C86:D86"/>
    <mergeCell ref="A87:B87"/>
    <mergeCell ref="C87:D87"/>
    <mergeCell ref="A79:B79"/>
    <mergeCell ref="C79:D79"/>
    <mergeCell ref="A80:B80"/>
    <mergeCell ref="C80:D80"/>
    <mergeCell ref="A81:B81"/>
    <mergeCell ref="A97:B97"/>
    <mergeCell ref="C97:D97"/>
    <mergeCell ref="A89:B89"/>
    <mergeCell ref="C89:D89"/>
    <mergeCell ref="A90:B90"/>
    <mergeCell ref="C83:D83"/>
    <mergeCell ref="C90:D90"/>
    <mergeCell ref="A84:B84"/>
    <mergeCell ref="C84:D84"/>
    <mergeCell ref="A85:B85"/>
    <mergeCell ref="C91:D91"/>
    <mergeCell ref="A91:B91"/>
    <mergeCell ref="C88:D88"/>
    <mergeCell ref="A94:G94"/>
    <mergeCell ref="A95:B95"/>
    <mergeCell ref="C95:D95"/>
    <mergeCell ref="A88:B88"/>
  </mergeCells>
  <printOptions/>
  <pageMargins left="0.2" right="0.16" top="0.21" bottom="0.1968503937007874" header="0.22" footer="0.1968503937007874"/>
  <pageSetup horizontalDpi="600" verticalDpi="600" orientation="landscape" paperSize="9" scale="94" r:id="rId1"/>
  <rowBreaks count="1" manualBreakCount="1">
    <brk id="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S50"/>
  <sheetViews>
    <sheetView zoomScale="90" zoomScaleNormal="90" zoomScalePageLayoutView="0" workbookViewId="0" topLeftCell="A1">
      <pane xSplit="2" ySplit="3" topLeftCell="E4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00390625" defaultRowHeight="15"/>
  <cols>
    <col min="1" max="1" width="29.140625" style="263" customWidth="1"/>
    <col min="2" max="2" width="5.140625" style="263" customWidth="1"/>
    <col min="3" max="3" width="9.57421875" style="263" customWidth="1"/>
    <col min="4" max="4" width="9.421875" style="263" customWidth="1"/>
    <col min="5" max="5" width="10.140625" style="263" customWidth="1"/>
    <col min="6" max="6" width="9.7109375" style="263" customWidth="1"/>
    <col min="7" max="7" width="11.28125" style="263" customWidth="1"/>
    <col min="8" max="8" width="10.7109375" style="263" customWidth="1"/>
    <col min="9" max="9" width="12.57421875" style="263" customWidth="1"/>
    <col min="10" max="10" width="11.140625" style="263" customWidth="1"/>
    <col min="11" max="11" width="10.57421875" style="263" customWidth="1"/>
    <col min="12" max="12" width="12.00390625" style="263" customWidth="1"/>
    <col min="13" max="13" width="10.7109375" style="263" customWidth="1"/>
    <col min="14" max="14" width="9.8515625" style="263" customWidth="1"/>
    <col min="15" max="15" width="8.8515625" style="263" customWidth="1"/>
    <col min="16" max="16" width="9.8515625" style="263" customWidth="1"/>
    <col min="17" max="18" width="9.7109375" style="263" customWidth="1"/>
    <col min="19" max="19" width="13.28125" style="268" customWidth="1"/>
    <col min="20" max="16384" width="9.00390625" style="263" customWidth="1"/>
  </cols>
  <sheetData>
    <row r="1" spans="1:19" s="255" customFormat="1" ht="12.75">
      <c r="A1" s="563" t="s">
        <v>410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</row>
    <row r="2" spans="1:19" s="255" customFormat="1" ht="12.75">
      <c r="A2" s="256"/>
      <c r="B2" s="564" t="s">
        <v>132</v>
      </c>
      <c r="C2" s="564" t="s">
        <v>133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5"/>
      <c r="S2" s="257"/>
    </row>
    <row r="3" spans="1:19" s="255" customFormat="1" ht="12.75">
      <c r="A3" s="256"/>
      <c r="B3" s="564"/>
      <c r="C3" s="256">
        <v>1</v>
      </c>
      <c r="D3" s="256">
        <v>2</v>
      </c>
      <c r="E3" s="256">
        <v>3</v>
      </c>
      <c r="F3" s="258" t="s">
        <v>134</v>
      </c>
      <c r="G3" s="256">
        <v>4</v>
      </c>
      <c r="H3" s="256">
        <v>5</v>
      </c>
      <c r="I3" s="256">
        <v>6</v>
      </c>
      <c r="J3" s="258" t="s">
        <v>135</v>
      </c>
      <c r="K3" s="256">
        <v>7</v>
      </c>
      <c r="L3" s="256">
        <v>8</v>
      </c>
      <c r="M3" s="256">
        <v>9</v>
      </c>
      <c r="N3" s="258" t="s">
        <v>136</v>
      </c>
      <c r="O3" s="256">
        <v>10</v>
      </c>
      <c r="P3" s="256">
        <v>11</v>
      </c>
      <c r="Q3" s="256">
        <v>12</v>
      </c>
      <c r="R3" s="258" t="s">
        <v>137</v>
      </c>
      <c r="S3" s="259"/>
    </row>
    <row r="4" spans="1:19" ht="13.5">
      <c r="A4" s="566" t="s">
        <v>160</v>
      </c>
      <c r="B4" s="260">
        <v>211</v>
      </c>
      <c r="C4" s="261"/>
      <c r="D4" s="261"/>
      <c r="E4" s="261"/>
      <c r="F4" s="262">
        <f>SUM(C4:E4)</f>
        <v>0</v>
      </c>
      <c r="G4" s="261"/>
      <c r="H4" s="261"/>
      <c r="I4" s="261"/>
      <c r="J4" s="262">
        <f>SUM(G4:I4)</f>
        <v>0</v>
      </c>
      <c r="K4" s="261"/>
      <c r="L4" s="261"/>
      <c r="M4" s="261"/>
      <c r="N4" s="262">
        <f>SUM(K4:M4)</f>
        <v>0</v>
      </c>
      <c r="O4" s="261"/>
      <c r="P4" s="261"/>
      <c r="Q4" s="261"/>
      <c r="R4" s="262">
        <f>SUM(O4:Q4)</f>
        <v>0</v>
      </c>
      <c r="S4" s="288">
        <f aca="true" t="shared" si="0" ref="S4:S43">R4+N4+J4+F4</f>
        <v>0</v>
      </c>
    </row>
    <row r="5" spans="1:19" ht="13.5">
      <c r="A5" s="567"/>
      <c r="B5" s="260">
        <v>213</v>
      </c>
      <c r="C5" s="261"/>
      <c r="D5" s="261"/>
      <c r="E5" s="261"/>
      <c r="F5" s="262">
        <f aca="true" t="shared" si="1" ref="F5:F42">SUM(C5:E5)</f>
        <v>0</v>
      </c>
      <c r="G5" s="261"/>
      <c r="H5" s="261"/>
      <c r="I5" s="261"/>
      <c r="J5" s="262">
        <f aca="true" t="shared" si="2" ref="J5:J35">SUM(G5:I5)</f>
        <v>0</v>
      </c>
      <c r="K5" s="261"/>
      <c r="L5" s="261"/>
      <c r="M5" s="261"/>
      <c r="N5" s="262">
        <f aca="true" t="shared" si="3" ref="N5:N35">SUM(K5:M5)</f>
        <v>0</v>
      </c>
      <c r="O5" s="261"/>
      <c r="P5" s="261"/>
      <c r="Q5" s="261"/>
      <c r="R5" s="262">
        <f aca="true" t="shared" si="4" ref="R5:R35">SUM(O5:Q5)</f>
        <v>0</v>
      </c>
      <c r="S5" s="288">
        <f t="shared" si="0"/>
        <v>0</v>
      </c>
    </row>
    <row r="6" spans="1:19" ht="13.5">
      <c r="A6" s="264" t="s">
        <v>138</v>
      </c>
      <c r="B6" s="260">
        <v>211</v>
      </c>
      <c r="C6" s="278">
        <v>948879</v>
      </c>
      <c r="D6" s="278">
        <v>2372200</v>
      </c>
      <c r="E6" s="278">
        <f>F6-C6-D6</f>
        <v>2372200</v>
      </c>
      <c r="F6" s="262">
        <v>5693279</v>
      </c>
      <c r="G6" s="278">
        <v>2372200</v>
      </c>
      <c r="H6" s="278">
        <v>4262464</v>
      </c>
      <c r="I6" s="278">
        <f>J6-G6-H6</f>
        <v>4040236</v>
      </c>
      <c r="J6" s="262">
        <v>10674900</v>
      </c>
      <c r="K6" s="278">
        <v>972075</v>
      </c>
      <c r="L6" s="278">
        <v>792818</v>
      </c>
      <c r="M6" s="278">
        <v>1793575</v>
      </c>
      <c r="N6" s="262">
        <v>3558468</v>
      </c>
      <c r="O6" s="278"/>
      <c r="P6" s="278"/>
      <c r="Q6" s="278"/>
      <c r="R6" s="262">
        <v>8541440</v>
      </c>
      <c r="S6" s="288">
        <f t="shared" si="0"/>
        <v>28468087</v>
      </c>
    </row>
    <row r="7" spans="1:19" s="266" customFormat="1" ht="78.75">
      <c r="A7" s="67" t="s">
        <v>158</v>
      </c>
      <c r="B7" s="265">
        <v>211</v>
      </c>
      <c r="C7" s="261">
        <v>654806</v>
      </c>
      <c r="D7" s="261">
        <v>1637015</v>
      </c>
      <c r="E7" s="261">
        <v>1637015</v>
      </c>
      <c r="F7" s="262">
        <f t="shared" si="1"/>
        <v>3928836</v>
      </c>
      <c r="G7" s="261">
        <v>2219224</v>
      </c>
      <c r="H7" s="261">
        <v>2301433</v>
      </c>
      <c r="I7" s="261">
        <v>2812000</v>
      </c>
      <c r="J7" s="262">
        <f t="shared" si="2"/>
        <v>7332657</v>
      </c>
      <c r="K7" s="261">
        <v>580000</v>
      </c>
      <c r="L7" s="261">
        <v>436106</v>
      </c>
      <c r="M7" s="261">
        <v>1473313.32</v>
      </c>
      <c r="N7" s="262">
        <f t="shared" si="3"/>
        <v>2489419.3200000003</v>
      </c>
      <c r="O7" s="261"/>
      <c r="P7" s="261"/>
      <c r="Q7" s="261"/>
      <c r="R7" s="262">
        <f t="shared" si="4"/>
        <v>0</v>
      </c>
      <c r="S7" s="288">
        <f t="shared" si="0"/>
        <v>13750912.32</v>
      </c>
    </row>
    <row r="8" spans="1:19" ht="92.25">
      <c r="A8" s="67" t="s">
        <v>157</v>
      </c>
      <c r="B8" s="264">
        <v>211</v>
      </c>
      <c r="C8" s="256">
        <f>C6-C7</f>
        <v>294073</v>
      </c>
      <c r="D8" s="256">
        <f>D6-D7</f>
        <v>735185</v>
      </c>
      <c r="E8" s="256">
        <f>E6-E7</f>
        <v>735185</v>
      </c>
      <c r="F8" s="262">
        <f t="shared" si="1"/>
        <v>1764443</v>
      </c>
      <c r="G8" s="256">
        <f>G6-G7</f>
        <v>152976</v>
      </c>
      <c r="H8" s="256">
        <f>H6-H7</f>
        <v>1961031</v>
      </c>
      <c r="I8" s="256">
        <f>I6-I7</f>
        <v>1228236</v>
      </c>
      <c r="J8" s="262">
        <f t="shared" si="2"/>
        <v>3342243</v>
      </c>
      <c r="K8" s="256">
        <f>K6-K7</f>
        <v>392075</v>
      </c>
      <c r="L8" s="256">
        <f>L6-L7</f>
        <v>356712</v>
      </c>
      <c r="M8" s="256">
        <f>M6-M7</f>
        <v>320261.67999999993</v>
      </c>
      <c r="N8" s="262">
        <f t="shared" si="3"/>
        <v>1069048.68</v>
      </c>
      <c r="O8" s="256">
        <f>O6-O7</f>
        <v>0</v>
      </c>
      <c r="P8" s="256">
        <f>P6-P7</f>
        <v>0</v>
      </c>
      <c r="Q8" s="256">
        <f>Q6-Q7</f>
        <v>0</v>
      </c>
      <c r="R8" s="262">
        <f t="shared" si="4"/>
        <v>0</v>
      </c>
      <c r="S8" s="288">
        <f t="shared" si="0"/>
        <v>6175734.68</v>
      </c>
    </row>
    <row r="9" spans="1:19" ht="13.5">
      <c r="A9" s="264" t="s">
        <v>138</v>
      </c>
      <c r="B9" s="260">
        <v>213</v>
      </c>
      <c r="C9" s="278">
        <v>0</v>
      </c>
      <c r="D9" s="278">
        <v>716404</v>
      </c>
      <c r="E9" s="278">
        <f>F9-C9-D9</f>
        <v>716404</v>
      </c>
      <c r="F9" s="262">
        <v>1432808</v>
      </c>
      <c r="G9" s="278">
        <v>716404</v>
      </c>
      <c r="H9" s="278">
        <v>1280647</v>
      </c>
      <c r="I9" s="278">
        <f>J9-G9-H9</f>
        <v>1226768</v>
      </c>
      <c r="J9" s="262">
        <v>3223819</v>
      </c>
      <c r="K9" s="399">
        <v>549929</v>
      </c>
      <c r="L9" s="278">
        <v>133764</v>
      </c>
      <c r="M9" s="278">
        <v>390913</v>
      </c>
      <c r="N9" s="262">
        <v>1074606</v>
      </c>
      <c r="O9" s="278"/>
      <c r="P9" s="278"/>
      <c r="Q9" s="278"/>
      <c r="R9" s="262">
        <v>2866129</v>
      </c>
      <c r="S9" s="288">
        <f t="shared" si="0"/>
        <v>8597362</v>
      </c>
    </row>
    <row r="10" spans="1:19" ht="78.75">
      <c r="A10" s="67" t="s">
        <v>158</v>
      </c>
      <c r="B10" s="264">
        <v>213</v>
      </c>
      <c r="C10" s="256"/>
      <c r="D10" s="256">
        <v>494379</v>
      </c>
      <c r="E10" s="256">
        <v>494379</v>
      </c>
      <c r="F10" s="262">
        <f t="shared" si="1"/>
        <v>988758</v>
      </c>
      <c r="G10" s="256">
        <v>688758</v>
      </c>
      <c r="H10" s="256">
        <v>476481</v>
      </c>
      <c r="I10" s="256">
        <v>580000</v>
      </c>
      <c r="J10" s="262">
        <f t="shared" si="2"/>
        <v>1745239</v>
      </c>
      <c r="K10" s="256">
        <v>499224</v>
      </c>
      <c r="L10" s="256">
        <v>100000</v>
      </c>
      <c r="M10" s="256">
        <v>371801</v>
      </c>
      <c r="N10" s="262">
        <f t="shared" si="3"/>
        <v>971025</v>
      </c>
      <c r="O10" s="256"/>
      <c r="P10" s="256"/>
      <c r="Q10" s="256"/>
      <c r="R10" s="262">
        <f t="shared" si="4"/>
        <v>0</v>
      </c>
      <c r="S10" s="288">
        <f t="shared" si="0"/>
        <v>3705022</v>
      </c>
    </row>
    <row r="11" spans="1:19" s="270" customFormat="1" ht="92.25">
      <c r="A11" s="67" t="s">
        <v>157</v>
      </c>
      <c r="B11" s="269">
        <v>213</v>
      </c>
      <c r="C11" s="256">
        <f>C9-C10</f>
        <v>0</v>
      </c>
      <c r="D11" s="256">
        <f>D9-D10</f>
        <v>222025</v>
      </c>
      <c r="E11" s="256">
        <f>E9-E10</f>
        <v>222025</v>
      </c>
      <c r="F11" s="262">
        <f t="shared" si="1"/>
        <v>444050</v>
      </c>
      <c r="G11" s="256">
        <f>G9-G10</f>
        <v>27646</v>
      </c>
      <c r="H11" s="256">
        <f>H9-H10</f>
        <v>804166</v>
      </c>
      <c r="I11" s="256">
        <f>I9-I10</f>
        <v>646768</v>
      </c>
      <c r="J11" s="262">
        <f t="shared" si="2"/>
        <v>1478580</v>
      </c>
      <c r="K11" s="256">
        <f>K9-K10</f>
        <v>50705</v>
      </c>
      <c r="L11" s="256">
        <f>L9-L10</f>
        <v>33764</v>
      </c>
      <c r="M11" s="256">
        <f>M9-M10</f>
        <v>19112</v>
      </c>
      <c r="N11" s="262">
        <f t="shared" si="3"/>
        <v>103581</v>
      </c>
      <c r="O11" s="256">
        <f>O9-O10</f>
        <v>0</v>
      </c>
      <c r="P11" s="256">
        <f>P9-P10</f>
        <v>0</v>
      </c>
      <c r="Q11" s="256">
        <f>Q9-Q10</f>
        <v>0</v>
      </c>
      <c r="R11" s="262">
        <f t="shared" si="4"/>
        <v>0</v>
      </c>
      <c r="S11" s="288">
        <f t="shared" si="0"/>
        <v>2026211</v>
      </c>
    </row>
    <row r="12" spans="1:19" ht="16.5" customHeight="1">
      <c r="A12" s="67" t="s">
        <v>411</v>
      </c>
      <c r="B12" s="264">
        <v>226</v>
      </c>
      <c r="C12" s="264"/>
      <c r="D12" s="264"/>
      <c r="E12" s="264">
        <v>6720</v>
      </c>
      <c r="F12" s="262">
        <f>SUM(C12:E12)</f>
        <v>6720</v>
      </c>
      <c r="G12" s="264">
        <v>1680</v>
      </c>
      <c r="H12" s="264">
        <v>1680</v>
      </c>
      <c r="I12" s="264">
        <v>21916</v>
      </c>
      <c r="J12" s="262">
        <f>SUM(G12:I12)</f>
        <v>25276</v>
      </c>
      <c r="K12" s="264"/>
      <c r="L12" s="264"/>
      <c r="M12" s="264">
        <v>8324</v>
      </c>
      <c r="N12" s="262">
        <f>SUM(K12:M12)</f>
        <v>8324</v>
      </c>
      <c r="O12" s="264"/>
      <c r="P12" s="264"/>
      <c r="Q12" s="264"/>
      <c r="R12" s="262">
        <f>SUM(O12:Q12)</f>
        <v>0</v>
      </c>
      <c r="S12" s="288">
        <f>R12+N12+J12+F12</f>
        <v>40320</v>
      </c>
    </row>
    <row r="13" spans="1:19" s="270" customFormat="1" ht="13.5">
      <c r="A13" s="67" t="s">
        <v>149</v>
      </c>
      <c r="B13" s="264">
        <v>310</v>
      </c>
      <c r="C13" s="256"/>
      <c r="D13" s="256"/>
      <c r="E13" s="256"/>
      <c r="F13" s="262">
        <f t="shared" si="1"/>
        <v>0</v>
      </c>
      <c r="G13" s="256"/>
      <c r="H13" s="256">
        <v>132598</v>
      </c>
      <c r="I13" s="256"/>
      <c r="J13" s="262">
        <f t="shared" si="2"/>
        <v>132598</v>
      </c>
      <c r="K13" s="256"/>
      <c r="L13" s="256"/>
      <c r="M13" s="256"/>
      <c r="N13" s="262">
        <f t="shared" si="3"/>
        <v>0</v>
      </c>
      <c r="O13" s="256"/>
      <c r="P13" s="256"/>
      <c r="Q13" s="256"/>
      <c r="R13" s="262">
        <f t="shared" si="4"/>
        <v>0</v>
      </c>
      <c r="S13" s="288">
        <f t="shared" si="0"/>
        <v>132598</v>
      </c>
    </row>
    <row r="14" spans="1:19" s="270" customFormat="1" ht="26.25">
      <c r="A14" s="254" t="s">
        <v>150</v>
      </c>
      <c r="B14" s="264">
        <v>340</v>
      </c>
      <c r="C14" s="256"/>
      <c r="D14" s="256"/>
      <c r="E14" s="256"/>
      <c r="F14" s="262">
        <f t="shared" si="1"/>
        <v>0</v>
      </c>
      <c r="G14" s="256"/>
      <c r="H14" s="256">
        <v>71717</v>
      </c>
      <c r="I14" s="256"/>
      <c r="J14" s="262">
        <f t="shared" si="2"/>
        <v>71717</v>
      </c>
      <c r="K14" s="256"/>
      <c r="L14" s="256"/>
      <c r="M14" s="256"/>
      <c r="N14" s="262">
        <f t="shared" si="3"/>
        <v>0</v>
      </c>
      <c r="O14" s="256"/>
      <c r="P14" s="256"/>
      <c r="Q14" s="256"/>
      <c r="R14" s="262">
        <f t="shared" si="4"/>
        <v>0</v>
      </c>
      <c r="S14" s="288">
        <f t="shared" si="0"/>
        <v>71717</v>
      </c>
    </row>
    <row r="15" spans="1:19" s="270" customFormat="1" ht="13.5">
      <c r="A15" s="254" t="s">
        <v>327</v>
      </c>
      <c r="B15" s="264"/>
      <c r="C15" s="256">
        <f>C14+C13+C9+C6</f>
        <v>948879</v>
      </c>
      <c r="D15" s="256">
        <f>D14+D13+D9+D6</f>
        <v>3088604</v>
      </c>
      <c r="E15" s="256">
        <f>E14+E13+E9+E6</f>
        <v>3088604</v>
      </c>
      <c r="F15" s="262">
        <f t="shared" si="1"/>
        <v>7126087</v>
      </c>
      <c r="G15" s="256">
        <f>G14+G13+G9+G6+G12</f>
        <v>3090284</v>
      </c>
      <c r="H15" s="256">
        <f>H14+H13+H9+H6+H12</f>
        <v>5749106</v>
      </c>
      <c r="I15" s="256">
        <f>I14+I13+I9+I6+I12</f>
        <v>5288920</v>
      </c>
      <c r="J15" s="262">
        <f t="shared" si="2"/>
        <v>14128310</v>
      </c>
      <c r="K15" s="256">
        <f>K14+K13+K9+K6+K12</f>
        <v>1522004</v>
      </c>
      <c r="L15" s="256">
        <f>L14+L13+L9+L6+L12</f>
        <v>926582</v>
      </c>
      <c r="M15" s="256">
        <f>M14+M13+M9+M6+M12</f>
        <v>2192812</v>
      </c>
      <c r="N15" s="262">
        <f t="shared" si="3"/>
        <v>4641398</v>
      </c>
      <c r="O15" s="256">
        <f>O14+O13+O9+O6+O12</f>
        <v>0</v>
      </c>
      <c r="P15" s="256">
        <f>P14+P13+P9+P6+P12</f>
        <v>0</v>
      </c>
      <c r="Q15" s="256">
        <f>Q14+Q13+Q9+Q6+Q12</f>
        <v>0</v>
      </c>
      <c r="R15" s="262">
        <f t="shared" si="4"/>
        <v>0</v>
      </c>
      <c r="S15" s="288">
        <f t="shared" si="0"/>
        <v>25895795</v>
      </c>
    </row>
    <row r="16" spans="1:19" ht="13.5">
      <c r="A16" s="264" t="s">
        <v>139</v>
      </c>
      <c r="B16" s="260">
        <v>211</v>
      </c>
      <c r="C16" s="278">
        <v>98400</v>
      </c>
      <c r="D16" s="278">
        <v>247266</v>
      </c>
      <c r="E16" s="278">
        <v>247266</v>
      </c>
      <c r="F16" s="262">
        <f t="shared" si="1"/>
        <v>592932</v>
      </c>
      <c r="G16" s="278">
        <v>247772</v>
      </c>
      <c r="H16" s="278">
        <v>427266</v>
      </c>
      <c r="I16" s="278">
        <v>265079</v>
      </c>
      <c r="J16" s="262">
        <f t="shared" si="2"/>
        <v>940117</v>
      </c>
      <c r="K16" s="399">
        <v>223281</v>
      </c>
      <c r="L16" s="278">
        <v>110000</v>
      </c>
      <c r="M16" s="278">
        <v>210704</v>
      </c>
      <c r="N16" s="262">
        <f t="shared" si="3"/>
        <v>543985</v>
      </c>
      <c r="O16" s="278"/>
      <c r="P16" s="278"/>
      <c r="Q16" s="278"/>
      <c r="R16" s="262">
        <f t="shared" si="4"/>
        <v>0</v>
      </c>
      <c r="S16" s="288">
        <f t="shared" si="0"/>
        <v>2077034</v>
      </c>
    </row>
    <row r="17" spans="1:19" s="266" customFormat="1" ht="78.75">
      <c r="A17" s="67" t="s">
        <v>158</v>
      </c>
      <c r="B17" s="265">
        <v>211</v>
      </c>
      <c r="C17" s="261"/>
      <c r="D17" s="261"/>
      <c r="E17" s="261"/>
      <c r="F17" s="262">
        <f t="shared" si="1"/>
        <v>0</v>
      </c>
      <c r="G17" s="261"/>
      <c r="H17" s="261"/>
      <c r="I17" s="261"/>
      <c r="J17" s="262">
        <f t="shared" si="2"/>
        <v>0</v>
      </c>
      <c r="K17" s="261"/>
      <c r="L17" s="261"/>
      <c r="M17" s="261"/>
      <c r="N17" s="262">
        <f t="shared" si="3"/>
        <v>0</v>
      </c>
      <c r="O17" s="261"/>
      <c r="P17" s="261"/>
      <c r="Q17" s="261"/>
      <c r="R17" s="262">
        <f t="shared" si="4"/>
        <v>0</v>
      </c>
      <c r="S17" s="288">
        <f t="shared" si="0"/>
        <v>0</v>
      </c>
    </row>
    <row r="18" spans="1:19" ht="92.25">
      <c r="A18" s="67" t="s">
        <v>157</v>
      </c>
      <c r="B18" s="264">
        <v>211</v>
      </c>
      <c r="C18" s="256">
        <f>C16-C17</f>
        <v>98400</v>
      </c>
      <c r="D18" s="256">
        <f>D16-D17</f>
        <v>247266</v>
      </c>
      <c r="E18" s="256">
        <f>E16-E17</f>
        <v>247266</v>
      </c>
      <c r="F18" s="262">
        <f t="shared" si="1"/>
        <v>592932</v>
      </c>
      <c r="G18" s="256">
        <f>G16-G17</f>
        <v>247772</v>
      </c>
      <c r="H18" s="256">
        <f>H16-H17</f>
        <v>427266</v>
      </c>
      <c r="I18" s="256">
        <f>I16-I17</f>
        <v>265079</v>
      </c>
      <c r="J18" s="262">
        <f t="shared" si="2"/>
        <v>940117</v>
      </c>
      <c r="K18" s="256">
        <f>K16-K17</f>
        <v>223281</v>
      </c>
      <c r="L18" s="256">
        <f>L16-L17</f>
        <v>110000</v>
      </c>
      <c r="M18" s="256">
        <f>M16-M17</f>
        <v>210704</v>
      </c>
      <c r="N18" s="262">
        <f t="shared" si="3"/>
        <v>543985</v>
      </c>
      <c r="O18" s="256">
        <f>O16-O17</f>
        <v>0</v>
      </c>
      <c r="P18" s="256">
        <f>P16-P17</f>
        <v>0</v>
      </c>
      <c r="Q18" s="256">
        <f>Q16-Q17</f>
        <v>0</v>
      </c>
      <c r="R18" s="262">
        <f t="shared" si="4"/>
        <v>0</v>
      </c>
      <c r="S18" s="288">
        <f t="shared" si="0"/>
        <v>2077034</v>
      </c>
    </row>
    <row r="19" spans="1:19" ht="13.5">
      <c r="A19" s="264" t="s">
        <v>139</v>
      </c>
      <c r="B19" s="260">
        <v>213</v>
      </c>
      <c r="C19" s="278">
        <v>65854.78</v>
      </c>
      <c r="D19" s="278">
        <v>74281</v>
      </c>
      <c r="E19" s="278">
        <v>75461</v>
      </c>
      <c r="F19" s="262">
        <f t="shared" si="1"/>
        <v>215596.78</v>
      </c>
      <c r="G19" s="278">
        <v>74674</v>
      </c>
      <c r="H19" s="278">
        <v>129034</v>
      </c>
      <c r="I19" s="278">
        <v>83100.22</v>
      </c>
      <c r="J19" s="262">
        <f t="shared" si="2"/>
        <v>286808.22</v>
      </c>
      <c r="K19" s="399">
        <v>102680</v>
      </c>
      <c r="L19" s="278">
        <v>6040</v>
      </c>
      <c r="M19" s="278">
        <v>60944</v>
      </c>
      <c r="N19" s="262">
        <f t="shared" si="3"/>
        <v>169664</v>
      </c>
      <c r="O19" s="278"/>
      <c r="P19" s="278"/>
      <c r="Q19" s="278"/>
      <c r="R19" s="262">
        <f t="shared" si="4"/>
        <v>0</v>
      </c>
      <c r="S19" s="288">
        <f t="shared" si="0"/>
        <v>672069</v>
      </c>
    </row>
    <row r="20" spans="1:19" ht="78.75">
      <c r="A20" s="67" t="s">
        <v>158</v>
      </c>
      <c r="B20" s="265">
        <v>213</v>
      </c>
      <c r="C20" s="261"/>
      <c r="D20" s="261"/>
      <c r="E20" s="261"/>
      <c r="F20" s="262">
        <f t="shared" si="1"/>
        <v>0</v>
      </c>
      <c r="G20" s="261"/>
      <c r="H20" s="261"/>
      <c r="I20" s="261"/>
      <c r="J20" s="262">
        <f t="shared" si="2"/>
        <v>0</v>
      </c>
      <c r="K20" s="261"/>
      <c r="L20" s="261"/>
      <c r="M20" s="261"/>
      <c r="N20" s="262">
        <f t="shared" si="3"/>
        <v>0</v>
      </c>
      <c r="O20" s="261"/>
      <c r="P20" s="261"/>
      <c r="Q20" s="261"/>
      <c r="R20" s="262">
        <f t="shared" si="4"/>
        <v>0</v>
      </c>
      <c r="S20" s="288">
        <f t="shared" si="0"/>
        <v>0</v>
      </c>
    </row>
    <row r="21" spans="1:19" s="266" customFormat="1" ht="92.25">
      <c r="A21" s="67" t="s">
        <v>157</v>
      </c>
      <c r="B21" s="264">
        <v>213</v>
      </c>
      <c r="C21" s="256">
        <f>C19-C20</f>
        <v>65854.78</v>
      </c>
      <c r="D21" s="256">
        <f>D19-D20</f>
        <v>74281</v>
      </c>
      <c r="E21" s="256">
        <f>E19-E20</f>
        <v>75461</v>
      </c>
      <c r="F21" s="262">
        <f t="shared" si="1"/>
        <v>215596.78</v>
      </c>
      <c r="G21" s="256">
        <f>G19-G20</f>
        <v>74674</v>
      </c>
      <c r="H21" s="256">
        <f>H19-H20</f>
        <v>129034</v>
      </c>
      <c r="I21" s="256">
        <f>I19-I20</f>
        <v>83100.22</v>
      </c>
      <c r="J21" s="262">
        <f t="shared" si="2"/>
        <v>286808.22</v>
      </c>
      <c r="K21" s="256">
        <f>K19-K20</f>
        <v>102680</v>
      </c>
      <c r="L21" s="256">
        <f>L19-L20</f>
        <v>6040</v>
      </c>
      <c r="M21" s="256">
        <f>M19-M20</f>
        <v>60944</v>
      </c>
      <c r="N21" s="262">
        <f t="shared" si="3"/>
        <v>169664</v>
      </c>
      <c r="O21" s="256">
        <f>O19-O20</f>
        <v>0</v>
      </c>
      <c r="P21" s="256">
        <f>P19-P20</f>
        <v>0</v>
      </c>
      <c r="Q21" s="256">
        <f>Q19-Q20</f>
        <v>0</v>
      </c>
      <c r="R21" s="262">
        <f t="shared" si="4"/>
        <v>0</v>
      </c>
      <c r="S21" s="288">
        <f t="shared" si="0"/>
        <v>672069</v>
      </c>
    </row>
    <row r="22" spans="1:19" ht="26.25">
      <c r="A22" s="67" t="s">
        <v>140</v>
      </c>
      <c r="B22" s="264">
        <v>212</v>
      </c>
      <c r="C22" s="256">
        <v>0</v>
      </c>
      <c r="D22" s="256">
        <v>100</v>
      </c>
      <c r="E22" s="256">
        <v>100</v>
      </c>
      <c r="F22" s="262">
        <f t="shared" si="1"/>
        <v>200</v>
      </c>
      <c r="G22" s="256">
        <v>100</v>
      </c>
      <c r="H22" s="256">
        <v>100</v>
      </c>
      <c r="I22" s="256">
        <v>200</v>
      </c>
      <c r="J22" s="262">
        <f t="shared" si="2"/>
        <v>400</v>
      </c>
      <c r="K22" s="256">
        <v>0</v>
      </c>
      <c r="L22" s="256">
        <v>100</v>
      </c>
      <c r="M22" s="264">
        <v>0</v>
      </c>
      <c r="N22" s="262">
        <f t="shared" si="3"/>
        <v>100</v>
      </c>
      <c r="O22" s="256"/>
      <c r="P22" s="256"/>
      <c r="Q22" s="264"/>
      <c r="R22" s="262">
        <f t="shared" si="4"/>
        <v>0</v>
      </c>
      <c r="S22" s="288">
        <f t="shared" si="0"/>
        <v>700</v>
      </c>
    </row>
    <row r="23" spans="1:19" ht="13.5">
      <c r="A23" s="67" t="s">
        <v>141</v>
      </c>
      <c r="B23" s="264">
        <v>221</v>
      </c>
      <c r="C23" s="256">
        <v>1701.08</v>
      </c>
      <c r="D23" s="256">
        <v>1284.55</v>
      </c>
      <c r="E23" s="256">
        <v>1084.79</v>
      </c>
      <c r="F23" s="262">
        <f t="shared" si="1"/>
        <v>4070.42</v>
      </c>
      <c r="G23" s="256">
        <v>2057.08</v>
      </c>
      <c r="H23" s="256">
        <v>1147.61</v>
      </c>
      <c r="I23" s="256">
        <v>1094.93</v>
      </c>
      <c r="J23" s="262">
        <f t="shared" si="2"/>
        <v>4299.62</v>
      </c>
      <c r="K23" s="256">
        <v>750.83</v>
      </c>
      <c r="L23" s="256">
        <v>1344.02</v>
      </c>
      <c r="M23" s="264">
        <v>2140.52</v>
      </c>
      <c r="N23" s="262">
        <f t="shared" si="3"/>
        <v>4235.37</v>
      </c>
      <c r="O23" s="256"/>
      <c r="P23" s="256"/>
      <c r="Q23" s="264"/>
      <c r="R23" s="262">
        <f t="shared" si="4"/>
        <v>0</v>
      </c>
      <c r="S23" s="288">
        <f t="shared" si="0"/>
        <v>12605.41</v>
      </c>
    </row>
    <row r="24" spans="1:19" ht="13.5">
      <c r="A24" s="67" t="s">
        <v>142</v>
      </c>
      <c r="B24" s="264">
        <v>223</v>
      </c>
      <c r="C24" s="264">
        <v>385721.56</v>
      </c>
      <c r="D24" s="264">
        <v>551685</v>
      </c>
      <c r="E24" s="264">
        <v>448136.85</v>
      </c>
      <c r="F24" s="262">
        <f t="shared" si="1"/>
        <v>1385543.4100000001</v>
      </c>
      <c r="G24" s="264">
        <v>514744.75</v>
      </c>
      <c r="H24" s="264">
        <v>101869.95</v>
      </c>
      <c r="I24" s="264">
        <v>276161.39</v>
      </c>
      <c r="J24" s="262">
        <f t="shared" si="2"/>
        <v>892776.09</v>
      </c>
      <c r="K24" s="264">
        <v>122940.43</v>
      </c>
      <c r="L24" s="264">
        <v>28676.95</v>
      </c>
      <c r="M24" s="264">
        <v>28854.36</v>
      </c>
      <c r="N24" s="262">
        <f t="shared" si="3"/>
        <v>180471.74</v>
      </c>
      <c r="O24" s="264"/>
      <c r="P24" s="264"/>
      <c r="Q24" s="264"/>
      <c r="R24" s="262">
        <f t="shared" si="4"/>
        <v>0</v>
      </c>
      <c r="S24" s="288">
        <f t="shared" si="0"/>
        <v>2458791.24</v>
      </c>
    </row>
    <row r="25" spans="1:19" ht="27">
      <c r="A25" s="253" t="s">
        <v>332</v>
      </c>
      <c r="B25" s="264">
        <v>225</v>
      </c>
      <c r="C25" s="264">
        <v>8035.8</v>
      </c>
      <c r="D25" s="264">
        <v>17121.11</v>
      </c>
      <c r="E25" s="264">
        <v>23413.05</v>
      </c>
      <c r="F25" s="262">
        <f t="shared" si="1"/>
        <v>48569.96</v>
      </c>
      <c r="G25" s="264">
        <v>26161.82</v>
      </c>
      <c r="H25" s="264">
        <v>0</v>
      </c>
      <c r="I25" s="264">
        <v>8935.3</v>
      </c>
      <c r="J25" s="262">
        <f t="shared" si="2"/>
        <v>35097.119999999995</v>
      </c>
      <c r="K25" s="264">
        <v>35910.4</v>
      </c>
      <c r="L25" s="264">
        <v>46555.97</v>
      </c>
      <c r="M25" s="264">
        <v>513.7</v>
      </c>
      <c r="N25" s="262">
        <f t="shared" si="3"/>
        <v>82980.06999999999</v>
      </c>
      <c r="O25" s="264"/>
      <c r="P25" s="264"/>
      <c r="Q25" s="264"/>
      <c r="R25" s="262">
        <f t="shared" si="4"/>
        <v>0</v>
      </c>
      <c r="S25" s="288">
        <f t="shared" si="0"/>
        <v>166647.15</v>
      </c>
    </row>
    <row r="26" spans="1:19" ht="13.5">
      <c r="A26" s="67" t="s">
        <v>329</v>
      </c>
      <c r="B26" s="264">
        <v>226</v>
      </c>
      <c r="C26" s="264">
        <v>0</v>
      </c>
      <c r="D26" s="264">
        <v>6500.4</v>
      </c>
      <c r="E26" s="264">
        <v>2000.2</v>
      </c>
      <c r="F26" s="262">
        <f t="shared" si="1"/>
        <v>8500.6</v>
      </c>
      <c r="G26" s="264">
        <v>2000.2</v>
      </c>
      <c r="H26" s="264">
        <v>0</v>
      </c>
      <c r="I26" s="264">
        <v>2000.2</v>
      </c>
      <c r="J26" s="262">
        <f t="shared" si="2"/>
        <v>4000.4</v>
      </c>
      <c r="K26" s="264">
        <v>198079.88</v>
      </c>
      <c r="L26" s="264">
        <v>4702.2</v>
      </c>
      <c r="M26" s="264">
        <v>0</v>
      </c>
      <c r="N26" s="262">
        <f t="shared" si="3"/>
        <v>202782.08000000002</v>
      </c>
      <c r="O26" s="264"/>
      <c r="P26" s="264"/>
      <c r="Q26" s="264"/>
      <c r="R26" s="262">
        <f t="shared" si="4"/>
        <v>0</v>
      </c>
      <c r="S26" s="288">
        <f t="shared" si="0"/>
        <v>215283.08000000002</v>
      </c>
    </row>
    <row r="27" spans="1:19" ht="13.5">
      <c r="A27" s="67" t="s">
        <v>330</v>
      </c>
      <c r="B27" s="264">
        <v>290</v>
      </c>
      <c r="C27" s="264">
        <v>0</v>
      </c>
      <c r="D27" s="264"/>
      <c r="E27" s="264"/>
      <c r="F27" s="262">
        <f t="shared" si="1"/>
        <v>0</v>
      </c>
      <c r="G27" s="264"/>
      <c r="H27" s="264"/>
      <c r="I27" s="264">
        <v>4799.88</v>
      </c>
      <c r="J27" s="262">
        <f t="shared" si="2"/>
        <v>4799.88</v>
      </c>
      <c r="K27" s="264">
        <f>99990-I27</f>
        <v>95190.12</v>
      </c>
      <c r="L27" s="264"/>
      <c r="M27" s="264"/>
      <c r="N27" s="262">
        <f t="shared" si="3"/>
        <v>95190.12</v>
      </c>
      <c r="O27" s="264"/>
      <c r="P27" s="264"/>
      <c r="Q27" s="264"/>
      <c r="R27" s="262">
        <f t="shared" si="4"/>
        <v>0</v>
      </c>
      <c r="S27" s="288">
        <f t="shared" si="0"/>
        <v>99990</v>
      </c>
    </row>
    <row r="28" spans="1:19" ht="13.5">
      <c r="A28" s="67" t="s">
        <v>331</v>
      </c>
      <c r="B28" s="264">
        <v>290</v>
      </c>
      <c r="C28" s="264">
        <v>0</v>
      </c>
      <c r="D28" s="264">
        <v>398072</v>
      </c>
      <c r="E28" s="264">
        <v>168823</v>
      </c>
      <c r="F28" s="262">
        <f t="shared" si="1"/>
        <v>566895</v>
      </c>
      <c r="G28" s="264">
        <v>174051</v>
      </c>
      <c r="H28" s="264">
        <v>184861</v>
      </c>
      <c r="I28" s="264"/>
      <c r="J28" s="262">
        <f t="shared" si="2"/>
        <v>358912</v>
      </c>
      <c r="K28" s="264">
        <f>268192.12-K27</f>
        <v>173002</v>
      </c>
      <c r="L28" s="264">
        <v>184178</v>
      </c>
      <c r="M28" s="264"/>
      <c r="N28" s="262">
        <f t="shared" si="3"/>
        <v>357180</v>
      </c>
      <c r="O28" s="264"/>
      <c r="P28" s="264"/>
      <c r="Q28" s="264"/>
      <c r="R28" s="262">
        <f t="shared" si="4"/>
        <v>0</v>
      </c>
      <c r="S28" s="288">
        <f t="shared" si="0"/>
        <v>1282987</v>
      </c>
    </row>
    <row r="29" spans="1:19" ht="13.5">
      <c r="A29" s="67" t="s">
        <v>149</v>
      </c>
      <c r="B29" s="264">
        <v>310</v>
      </c>
      <c r="C29" s="256"/>
      <c r="D29" s="256"/>
      <c r="E29" s="256"/>
      <c r="F29" s="262">
        <f t="shared" si="1"/>
        <v>0</v>
      </c>
      <c r="G29" s="256"/>
      <c r="H29" s="256"/>
      <c r="I29" s="256"/>
      <c r="J29" s="262">
        <f t="shared" si="2"/>
        <v>0</v>
      </c>
      <c r="K29" s="256"/>
      <c r="L29" s="256"/>
      <c r="M29" s="264"/>
      <c r="N29" s="262">
        <f t="shared" si="3"/>
        <v>0</v>
      </c>
      <c r="O29" s="256"/>
      <c r="P29" s="256"/>
      <c r="Q29" s="264"/>
      <c r="R29" s="262">
        <f t="shared" si="4"/>
        <v>0</v>
      </c>
      <c r="S29" s="288">
        <f t="shared" si="0"/>
        <v>0</v>
      </c>
    </row>
    <row r="30" spans="1:19" ht="26.25">
      <c r="A30" s="254" t="s">
        <v>150</v>
      </c>
      <c r="B30" s="264">
        <v>340</v>
      </c>
      <c r="C30" s="256"/>
      <c r="D30" s="256"/>
      <c r="E30" s="256"/>
      <c r="F30" s="262">
        <f t="shared" si="1"/>
        <v>0</v>
      </c>
      <c r="G30" s="256"/>
      <c r="H30" s="256"/>
      <c r="I30" s="256"/>
      <c r="J30" s="262">
        <f t="shared" si="2"/>
        <v>0</v>
      </c>
      <c r="K30" s="256"/>
      <c r="L30" s="256"/>
      <c r="M30" s="264"/>
      <c r="N30" s="262">
        <f t="shared" si="3"/>
        <v>0</v>
      </c>
      <c r="O30" s="256"/>
      <c r="P30" s="256"/>
      <c r="Q30" s="264"/>
      <c r="R30" s="262"/>
      <c r="S30" s="288">
        <f t="shared" si="0"/>
        <v>0</v>
      </c>
    </row>
    <row r="31" spans="1:19" ht="13.5">
      <c r="A31" s="254" t="s">
        <v>328</v>
      </c>
      <c r="B31" s="264"/>
      <c r="C31" s="264">
        <f>C30+C29+C28+C27+C26+C25+C24+C23+C22+C19+C16</f>
        <v>559713.22</v>
      </c>
      <c r="D31" s="264">
        <f>D30+D29+D28+D27+D26+D25+D24+D23+D22+D19+D16</f>
        <v>1296310.06</v>
      </c>
      <c r="E31" s="264">
        <f>E30+E29+E28+E27+E26+E25+E24+E23+E22+E19+E16</f>
        <v>966284.89</v>
      </c>
      <c r="F31" s="262">
        <f t="shared" si="1"/>
        <v>2822308.17</v>
      </c>
      <c r="G31" s="264">
        <f>G30+G29+G28+G27+G26+G25+G24+G23+G22+G19+G16</f>
        <v>1041560.85</v>
      </c>
      <c r="H31" s="264">
        <f>H30+H29+H28+H27+H26+H25+H24+H23+H22+H19+H16</f>
        <v>844278.56</v>
      </c>
      <c r="I31" s="264">
        <f>I30+I29+I28+I27+I26+I25+I24+I23+I22+I19+I16</f>
        <v>641370.92</v>
      </c>
      <c r="J31" s="262">
        <f t="shared" si="2"/>
        <v>2527210.33</v>
      </c>
      <c r="K31" s="264">
        <f>K30+K29+K28+K27+K26+K25+K24+K23+K22+K19+K16</f>
        <v>951834.66</v>
      </c>
      <c r="L31" s="264">
        <f>L30+L29+L28+L27+L26+L25+L24+L23+L22+L19+L16</f>
        <v>381597.14</v>
      </c>
      <c r="M31" s="264">
        <f>M30+M29+M28+M27+M26+M25+M24+M23+M22+M19+M16</f>
        <v>303156.58</v>
      </c>
      <c r="N31" s="262">
        <f t="shared" si="3"/>
        <v>1636588.3800000001</v>
      </c>
      <c r="O31" s="264">
        <f>O30+O29+O28+O27+O26+O25+O24+O23+O22+O19+O16</f>
        <v>0</v>
      </c>
      <c r="P31" s="264">
        <f>P30+P29+P28+P27+P26+P25+P24+P23+P22+P19+P16</f>
        <v>0</v>
      </c>
      <c r="Q31" s="264">
        <f>Q30+Q29+Q28+Q27+Q26+Q25+Q24+Q23+Q22+Q19+Q16</f>
        <v>0</v>
      </c>
      <c r="R31" s="262">
        <f t="shared" si="4"/>
        <v>0</v>
      </c>
      <c r="S31" s="288">
        <f t="shared" si="0"/>
        <v>6986106.88</v>
      </c>
    </row>
    <row r="32" spans="1:19" ht="13.5">
      <c r="A32" s="279" t="s">
        <v>333</v>
      </c>
      <c r="B32" s="280"/>
      <c r="C32" s="280">
        <f>C7+C10+C17+C20+C13+C14+C4+C5+C12</f>
        <v>654806</v>
      </c>
      <c r="D32" s="280">
        <f>D7+D10+D17+D20+D13+D14+D4+D5+D12</f>
        <v>2131394</v>
      </c>
      <c r="E32" s="280">
        <f>E7+E10+E17+E20+E13+E14+E4+E5+E12</f>
        <v>2138114</v>
      </c>
      <c r="F32" s="287">
        <f t="shared" si="1"/>
        <v>4924314</v>
      </c>
      <c r="G32" s="280">
        <f>G7+G10+G17+G20+G13+G14+G4+G5+G12</f>
        <v>2909662</v>
      </c>
      <c r="H32" s="280">
        <f>H7+H10+H17+H20+H13+H14+H4+H5+H12</f>
        <v>2983909</v>
      </c>
      <c r="I32" s="280">
        <f>I7+I10+I17+I20+I13+I14+I4+I5+I12</f>
        <v>3413916</v>
      </c>
      <c r="J32" s="287">
        <f t="shared" si="2"/>
        <v>9307487</v>
      </c>
      <c r="K32" s="280">
        <f>K7+K10+K17+K20+K13+K14+K4+K5+K12</f>
        <v>1079224</v>
      </c>
      <c r="L32" s="280">
        <f>L7+L10+L17+L20+L13+L14+L4+L5+L12</f>
        <v>536106</v>
      </c>
      <c r="M32" s="280">
        <f>M7+M10+M17+M20+M13+M14+M4+M5+M12</f>
        <v>1853438.32</v>
      </c>
      <c r="N32" s="287">
        <f t="shared" si="3"/>
        <v>3468768.3200000003</v>
      </c>
      <c r="O32" s="280">
        <f>O7+O10+O17+O20+O13+O14+O4+O5+O12</f>
        <v>0</v>
      </c>
      <c r="P32" s="280">
        <f>P7+P10+P17+P20+P13+P14+P4+P5+P12</f>
        <v>0</v>
      </c>
      <c r="Q32" s="280">
        <f>Q7+Q10+Q17+Q20+Q13+Q14+Q4+Q5+Q12</f>
        <v>0</v>
      </c>
      <c r="R32" s="287">
        <f t="shared" si="4"/>
        <v>0</v>
      </c>
      <c r="S32" s="289">
        <f t="shared" si="0"/>
        <v>17700569.32</v>
      </c>
    </row>
    <row r="33" spans="1:19" ht="13.5">
      <c r="A33" s="263" t="s">
        <v>151</v>
      </c>
      <c r="B33" s="272"/>
      <c r="C33" s="272">
        <f>C7+C10+C13+C14+C12</f>
        <v>654806</v>
      </c>
      <c r="D33" s="272">
        <f>D7+D10+D13+D14+D12</f>
        <v>2131394</v>
      </c>
      <c r="E33" s="272">
        <f>E7+E10+E13+E14+E12</f>
        <v>2138114</v>
      </c>
      <c r="F33" s="262">
        <f t="shared" si="1"/>
        <v>4924314</v>
      </c>
      <c r="G33" s="272">
        <f>G7+G10+G13+G14+G12</f>
        <v>2909662</v>
      </c>
      <c r="H33" s="272">
        <f aca="true" t="shared" si="5" ref="H33:Q33">H7+H10+H13+H14+H12</f>
        <v>2983909</v>
      </c>
      <c r="I33" s="272">
        <f t="shared" si="5"/>
        <v>3413916</v>
      </c>
      <c r="J33" s="262">
        <f>SUM(G33:I33)</f>
        <v>9307487</v>
      </c>
      <c r="K33" s="272">
        <f t="shared" si="5"/>
        <v>1079224</v>
      </c>
      <c r="L33" s="272">
        <f t="shared" si="5"/>
        <v>536106</v>
      </c>
      <c r="M33" s="272">
        <f t="shared" si="5"/>
        <v>1853438.32</v>
      </c>
      <c r="N33" s="262">
        <f t="shared" si="3"/>
        <v>3468768.3200000003</v>
      </c>
      <c r="O33" s="272">
        <f t="shared" si="5"/>
        <v>0</v>
      </c>
      <c r="P33" s="272">
        <f t="shared" si="5"/>
        <v>0</v>
      </c>
      <c r="Q33" s="272">
        <f t="shared" si="5"/>
        <v>0</v>
      </c>
      <c r="R33" s="262">
        <f t="shared" si="4"/>
        <v>0</v>
      </c>
      <c r="S33" s="288">
        <f t="shared" si="0"/>
        <v>17700569.32</v>
      </c>
    </row>
    <row r="34" spans="1:19" ht="13.5">
      <c r="A34" s="263" t="s">
        <v>334</v>
      </c>
      <c r="C34" s="263">
        <f>C4+C5</f>
        <v>0</v>
      </c>
      <c r="D34" s="263">
        <f>D4+D5</f>
        <v>0</v>
      </c>
      <c r="E34" s="263">
        <f>E4+E5</f>
        <v>0</v>
      </c>
      <c r="F34" s="262">
        <f t="shared" si="1"/>
        <v>0</v>
      </c>
      <c r="G34" s="263">
        <f>G4+G5</f>
        <v>0</v>
      </c>
      <c r="H34" s="263">
        <f>H4+H5</f>
        <v>0</v>
      </c>
      <c r="I34" s="263">
        <f>I4+I5</f>
        <v>0</v>
      </c>
      <c r="J34" s="262">
        <f t="shared" si="2"/>
        <v>0</v>
      </c>
      <c r="K34" s="263">
        <f>K4+K5</f>
        <v>0</v>
      </c>
      <c r="L34" s="263">
        <f>L4+L5</f>
        <v>0</v>
      </c>
      <c r="M34" s="263">
        <f>M4+M5</f>
        <v>0</v>
      </c>
      <c r="N34" s="262">
        <f t="shared" si="3"/>
        <v>0</v>
      </c>
      <c r="O34" s="263">
        <f>O4+O5</f>
        <v>0</v>
      </c>
      <c r="P34" s="263">
        <f>P4+P5</f>
        <v>0</v>
      </c>
      <c r="Q34" s="263">
        <f>Q4+Q5</f>
        <v>0</v>
      </c>
      <c r="R34" s="262">
        <f t="shared" si="4"/>
        <v>0</v>
      </c>
      <c r="S34" s="288">
        <f t="shared" si="0"/>
        <v>0</v>
      </c>
    </row>
    <row r="35" spans="1:19" s="273" customFormat="1" ht="13.5">
      <c r="A35" s="263" t="s">
        <v>152</v>
      </c>
      <c r="B35" s="271"/>
      <c r="C35" s="272">
        <f>C17+C20</f>
        <v>0</v>
      </c>
      <c r="D35" s="272">
        <f>D17+D20</f>
        <v>0</v>
      </c>
      <c r="E35" s="272">
        <f>E17+E20</f>
        <v>0</v>
      </c>
      <c r="F35" s="262">
        <f t="shared" si="1"/>
        <v>0</v>
      </c>
      <c r="G35" s="272">
        <f>G17+G20</f>
        <v>0</v>
      </c>
      <c r="H35" s="272">
        <f>H17+H20</f>
        <v>0</v>
      </c>
      <c r="I35" s="272">
        <f>I17+I20</f>
        <v>0</v>
      </c>
      <c r="J35" s="262">
        <f t="shared" si="2"/>
        <v>0</v>
      </c>
      <c r="K35" s="272">
        <f>K17+K20</f>
        <v>0</v>
      </c>
      <c r="L35" s="272">
        <f>L17+L20</f>
        <v>0</v>
      </c>
      <c r="M35" s="272">
        <f>M17+M20</f>
        <v>0</v>
      </c>
      <c r="N35" s="262">
        <f t="shared" si="3"/>
        <v>0</v>
      </c>
      <c r="O35" s="272">
        <f>O17+O20</f>
        <v>0</v>
      </c>
      <c r="P35" s="272">
        <f>P17+P20</f>
        <v>0</v>
      </c>
      <c r="Q35" s="272">
        <f>Q17+Q20</f>
        <v>0</v>
      </c>
      <c r="R35" s="262">
        <f t="shared" si="4"/>
        <v>0</v>
      </c>
      <c r="S35" s="288">
        <f t="shared" si="0"/>
        <v>0</v>
      </c>
    </row>
    <row r="36" spans="1:19" s="273" customFormat="1" ht="6" customHeight="1">
      <c r="A36" s="263"/>
      <c r="B36" s="271"/>
      <c r="C36" s="271"/>
      <c r="D36" s="271"/>
      <c r="E36" s="271"/>
      <c r="F36" s="264"/>
      <c r="G36" s="271"/>
      <c r="H36" s="271"/>
      <c r="I36" s="271"/>
      <c r="J36" s="264"/>
      <c r="K36" s="271"/>
      <c r="L36" s="271"/>
      <c r="M36" s="271"/>
      <c r="N36" s="264"/>
      <c r="O36" s="271"/>
      <c r="P36" s="271"/>
      <c r="Q36" s="271"/>
      <c r="R36" s="264"/>
      <c r="S36" s="290"/>
    </row>
    <row r="37" spans="1:19" ht="13.5">
      <c r="A37" s="279" t="s">
        <v>335</v>
      </c>
      <c r="B37" s="283"/>
      <c r="C37" s="283">
        <f>C8+C11+C18+C21+C22+C23+C24+C25+C26+C27+C29+C30</f>
        <v>853786.2200000001</v>
      </c>
      <c r="D37" s="283">
        <f>D8+D11+D18+D21+D22+D23+D24+D25+D26+D27+D29+D30</f>
        <v>1855448.06</v>
      </c>
      <c r="E37" s="283">
        <f>E8+E11+E18+E21+E22+E23+E24+E25+E26+E27+E29+E30</f>
        <v>1754671.8900000001</v>
      </c>
      <c r="F37" s="287">
        <f t="shared" si="1"/>
        <v>4463906.17</v>
      </c>
      <c r="G37" s="283">
        <f>G8+G11+G18+G21+G22+G23+G24+G25+G26+G27+G29+G30</f>
        <v>1048131.85</v>
      </c>
      <c r="H37" s="283">
        <f>H8+H11+H18+H21+H22+H23+H24+H25+H26+H27+H29+H30</f>
        <v>3424614.56</v>
      </c>
      <c r="I37" s="283">
        <f>I8+I11+I18+I21+I22+I23+I24+I25+I26+I27+I29+I30</f>
        <v>2516374.9200000004</v>
      </c>
      <c r="J37" s="287">
        <f>SUM(G37:I37)</f>
        <v>6989121.33</v>
      </c>
      <c r="K37" s="283">
        <f>K8+K11+K18+K21+K22+K23+K24+K25+K26+K27+K29+K30</f>
        <v>1221612.6600000001</v>
      </c>
      <c r="L37" s="283">
        <f>L8+L11+L18+L21+L22+L23+L24+L25+L26+L27+L29+L30</f>
        <v>587895.1399999999</v>
      </c>
      <c r="M37" s="283">
        <f>M8+M11+M18+M21+M22+M23+M24+M25+M26+M27+M29+M30</f>
        <v>642530.2599999999</v>
      </c>
      <c r="N37" s="287">
        <f>SUM(K37:M37)</f>
        <v>2452038.06</v>
      </c>
      <c r="O37" s="283">
        <f>O8+O11+O18+O21+O22+O23+O24+O25+O26+O27+O29+O30</f>
        <v>0</v>
      </c>
      <c r="P37" s="283">
        <f>P8+P11+P18+P21+P22+P23+P24+P25+P26+P27+P29+P30</f>
        <v>0</v>
      </c>
      <c r="Q37" s="283">
        <f>Q8+Q11+Q18+Q21+Q22+Q23+Q24+Q25+Q26+Q27+Q29+Q30</f>
        <v>0</v>
      </c>
      <c r="R37" s="287">
        <f>SUM(O37:Q37)</f>
        <v>0</v>
      </c>
      <c r="S37" s="289">
        <f t="shared" si="0"/>
        <v>13905065.56</v>
      </c>
    </row>
    <row r="38" spans="1:19" ht="13.5">
      <c r="A38" s="272" t="s">
        <v>151</v>
      </c>
      <c r="C38" s="263">
        <f>C8+C11</f>
        <v>294073</v>
      </c>
      <c r="D38" s="263">
        <f>D8+D11</f>
        <v>957210</v>
      </c>
      <c r="E38" s="263">
        <f>E8+E11</f>
        <v>957210</v>
      </c>
      <c r="F38" s="262">
        <f t="shared" si="1"/>
        <v>2208493</v>
      </c>
      <c r="G38" s="263">
        <f>G8+G11</f>
        <v>180622</v>
      </c>
      <c r="H38" s="263">
        <f>H8+H11</f>
        <v>2765197</v>
      </c>
      <c r="I38" s="263">
        <f>I8+I11</f>
        <v>1875004</v>
      </c>
      <c r="J38" s="262">
        <f>SUM(G38:I38)</f>
        <v>4820823</v>
      </c>
      <c r="K38" s="263">
        <f>K8+K11</f>
        <v>442780</v>
      </c>
      <c r="L38" s="263">
        <f>L8+L11</f>
        <v>390476</v>
      </c>
      <c r="M38" s="263">
        <f>M8+M11</f>
        <v>339373.67999999993</v>
      </c>
      <c r="N38" s="262">
        <f>SUM(K38:M38)</f>
        <v>1172629.68</v>
      </c>
      <c r="O38" s="263">
        <f>O8+O11</f>
        <v>0</v>
      </c>
      <c r="P38" s="263">
        <f>P8+P11</f>
        <v>0</v>
      </c>
      <c r="Q38" s="263">
        <f>Q8+Q11</f>
        <v>0</v>
      </c>
      <c r="R38" s="262">
        <f>SUM(O38:Q38)</f>
        <v>0</v>
      </c>
      <c r="S38" s="288">
        <f t="shared" si="0"/>
        <v>8201945.68</v>
      </c>
    </row>
    <row r="39" spans="1:19" ht="13.5">
      <c r="A39" s="263" t="s">
        <v>152</v>
      </c>
      <c r="C39" s="263">
        <f>C18+C21+C22+C23+C24+C25+C26+C27+C29+C30</f>
        <v>559713.22</v>
      </c>
      <c r="D39" s="263">
        <f>D18+D21+D22+D23+D24+D25+D26+D27+D29+D30</f>
        <v>898238.06</v>
      </c>
      <c r="E39" s="263">
        <f>E18+E21+E22+E23+E24+E25+E26+E27+E29+E30</f>
        <v>797461.8899999999</v>
      </c>
      <c r="F39" s="262">
        <f t="shared" si="1"/>
        <v>2255413.17</v>
      </c>
      <c r="G39" s="263">
        <f>G18+G21+G22+G23+G24+G25+G26+G27+G29+G30</f>
        <v>867509.85</v>
      </c>
      <c r="H39" s="263">
        <f>H18+H21+H22+H23+H24+H25+H26+H27+H29+H30</f>
        <v>659417.5599999999</v>
      </c>
      <c r="I39" s="263">
        <f>I18+I21+I22+I23+I24+I25+I26+I27+I29+I30</f>
        <v>641370.92</v>
      </c>
      <c r="J39" s="262">
        <f>SUM(G39:I39)</f>
        <v>2168298.33</v>
      </c>
      <c r="K39" s="263">
        <f>K18+K21+K22+K23+K24+K25+K26+K27+K29+K30</f>
        <v>778832.66</v>
      </c>
      <c r="L39" s="263">
        <f>L18+L21+L22+L23+L24+L25+L26+L27+L29+L30</f>
        <v>197419.14</v>
      </c>
      <c r="M39" s="263">
        <f>M18+M21+M22+M23+M24+M25+M26+M27+M29+M30</f>
        <v>303156.58</v>
      </c>
      <c r="N39" s="262">
        <f>SUM(K39:M39)</f>
        <v>1279408.3800000001</v>
      </c>
      <c r="O39" s="263">
        <f>O18+O21+O22+O23+O24+O25+O26+O27+O29+O30</f>
        <v>0</v>
      </c>
      <c r="P39" s="263">
        <f>P18+P21+P22+P23+P24+P25+P26+P27+P29+P30</f>
        <v>0</v>
      </c>
      <c r="Q39" s="263">
        <f>Q18+Q21+Q22+Q23+Q24+Q25+Q26+Q27+Q29+Q30</f>
        <v>0</v>
      </c>
      <c r="R39" s="262">
        <f>SUM(O39:Q39)</f>
        <v>0</v>
      </c>
      <c r="S39" s="288">
        <f t="shared" si="0"/>
        <v>5703119.88</v>
      </c>
    </row>
    <row r="40" spans="6:19" ht="5.25" customHeight="1">
      <c r="F40" s="264"/>
      <c r="J40" s="264"/>
      <c r="N40" s="264"/>
      <c r="R40" s="264"/>
      <c r="S40" s="290"/>
    </row>
    <row r="41" spans="1:19" s="272" customFormat="1" ht="13.5">
      <c r="A41" s="279" t="s">
        <v>336</v>
      </c>
      <c r="B41" s="280"/>
      <c r="C41" s="280">
        <f>C28</f>
        <v>0</v>
      </c>
      <c r="D41" s="280">
        <f>D28</f>
        <v>398072</v>
      </c>
      <c r="E41" s="280">
        <f>E28</f>
        <v>168823</v>
      </c>
      <c r="F41" s="287">
        <f t="shared" si="1"/>
        <v>566895</v>
      </c>
      <c r="G41" s="280">
        <f>G28</f>
        <v>174051</v>
      </c>
      <c r="H41" s="280">
        <f>H28</f>
        <v>184861</v>
      </c>
      <c r="I41" s="280">
        <f>I28</f>
        <v>0</v>
      </c>
      <c r="J41" s="287">
        <f>SUM(G41:I41)</f>
        <v>358912</v>
      </c>
      <c r="K41" s="280">
        <f>K28</f>
        <v>173002</v>
      </c>
      <c r="L41" s="280">
        <f>L28</f>
        <v>184178</v>
      </c>
      <c r="M41" s="280">
        <f>M28</f>
        <v>0</v>
      </c>
      <c r="N41" s="287">
        <f>SUM(K41:M41)</f>
        <v>357180</v>
      </c>
      <c r="O41" s="280">
        <f>O28</f>
        <v>0</v>
      </c>
      <c r="P41" s="280">
        <f>P28</f>
        <v>0</v>
      </c>
      <c r="Q41" s="280">
        <f>Q28</f>
        <v>0</v>
      </c>
      <c r="R41" s="287">
        <f>SUM(O41:Q41)</f>
        <v>0</v>
      </c>
      <c r="S41" s="289">
        <f t="shared" si="0"/>
        <v>1282987</v>
      </c>
    </row>
    <row r="42" spans="1:19" s="255" customFormat="1" ht="13.5">
      <c r="A42" s="263" t="s">
        <v>152</v>
      </c>
      <c r="C42" s="255">
        <f>C28</f>
        <v>0</v>
      </c>
      <c r="D42" s="255">
        <f>D28</f>
        <v>398072</v>
      </c>
      <c r="E42" s="255">
        <f>E28</f>
        <v>168823</v>
      </c>
      <c r="F42" s="262">
        <f t="shared" si="1"/>
        <v>566895</v>
      </c>
      <c r="G42" s="255">
        <f>G28</f>
        <v>174051</v>
      </c>
      <c r="H42" s="255">
        <f>H28</f>
        <v>184861</v>
      </c>
      <c r="I42" s="255">
        <f>I28</f>
        <v>0</v>
      </c>
      <c r="J42" s="262">
        <f>SUM(G42:I42)</f>
        <v>358912</v>
      </c>
      <c r="K42" s="255">
        <f>K28</f>
        <v>173002</v>
      </c>
      <c r="L42" s="255">
        <f>L28</f>
        <v>184178</v>
      </c>
      <c r="M42" s="255">
        <f>M28</f>
        <v>0</v>
      </c>
      <c r="N42" s="262">
        <f>SUM(K42:M42)</f>
        <v>357180</v>
      </c>
      <c r="O42" s="255">
        <f>O28</f>
        <v>0</v>
      </c>
      <c r="P42" s="255">
        <f>P28</f>
        <v>0</v>
      </c>
      <c r="Q42" s="255">
        <f>Q28</f>
        <v>0</v>
      </c>
      <c r="R42" s="262">
        <f>SUM(O42:Q42)</f>
        <v>0</v>
      </c>
      <c r="S42" s="288">
        <f t="shared" si="0"/>
        <v>1282987</v>
      </c>
    </row>
    <row r="43" spans="1:19" s="281" customFormat="1" ht="13.5">
      <c r="A43" s="284" t="s">
        <v>153</v>
      </c>
      <c r="B43" s="285"/>
      <c r="C43" s="286">
        <f>C32+C37+C41</f>
        <v>1508592.2200000002</v>
      </c>
      <c r="D43" s="286">
        <f>D32+D37+D41</f>
        <v>4384914.0600000005</v>
      </c>
      <c r="E43" s="286">
        <f>E32+E37+E41</f>
        <v>4061608.89</v>
      </c>
      <c r="F43" s="287">
        <f>SUM(C43:E43)</f>
        <v>9955115.170000002</v>
      </c>
      <c r="G43" s="286">
        <f>G32+G37+G41</f>
        <v>4131844.85</v>
      </c>
      <c r="H43" s="286">
        <f>H32+H37+H41</f>
        <v>6593384.5600000005</v>
      </c>
      <c r="I43" s="286">
        <f>I32+I37+I41</f>
        <v>5930290.92</v>
      </c>
      <c r="J43" s="287">
        <f>SUM(G43:I43)</f>
        <v>16655520.33</v>
      </c>
      <c r="K43" s="286">
        <f>K32+K37+K41</f>
        <v>2473838.66</v>
      </c>
      <c r="L43" s="286">
        <f>L32+L37+L41</f>
        <v>1308179.14</v>
      </c>
      <c r="M43" s="286">
        <f>M32+M37+M41</f>
        <v>2495968.58</v>
      </c>
      <c r="N43" s="287">
        <f>SUM(K43:M43)</f>
        <v>6277986.38</v>
      </c>
      <c r="O43" s="286">
        <f>O32+O37+O41</f>
        <v>0</v>
      </c>
      <c r="P43" s="286">
        <f>P32+P37+P41</f>
        <v>0</v>
      </c>
      <c r="Q43" s="286">
        <f>Q32+Q37+Q41</f>
        <v>0</v>
      </c>
      <c r="R43" s="287">
        <f>SUM(O43:Q43)</f>
        <v>0</v>
      </c>
      <c r="S43" s="289">
        <f t="shared" si="0"/>
        <v>32888621.880000003</v>
      </c>
    </row>
    <row r="44" spans="1:19" s="255" customFormat="1" ht="12.75">
      <c r="A44" s="275"/>
      <c r="S44" s="276"/>
    </row>
    <row r="45" spans="1:19" s="255" customFormat="1" ht="12.75">
      <c r="A45" s="277"/>
      <c r="S45" s="276"/>
    </row>
    <row r="46" spans="1:19" s="255" customFormat="1" ht="12.75">
      <c r="A46" s="275" t="s">
        <v>154</v>
      </c>
      <c r="D46" s="255" t="s">
        <v>396</v>
      </c>
      <c r="S46" s="276"/>
    </row>
    <row r="47" s="255" customFormat="1" ht="12.75">
      <c r="S47" s="276"/>
    </row>
    <row r="48" spans="1:19" s="255" customFormat="1" ht="12.75">
      <c r="A48" s="255" t="s">
        <v>155</v>
      </c>
      <c r="D48" s="255" t="s">
        <v>398</v>
      </c>
      <c r="S48" s="276"/>
    </row>
    <row r="49" ht="12.75">
      <c r="A49" s="255"/>
    </row>
    <row r="50" ht="12.75">
      <c r="A50" s="255"/>
    </row>
  </sheetData>
  <sheetProtection/>
  <mergeCells count="4">
    <mergeCell ref="A1:S1"/>
    <mergeCell ref="B2:B3"/>
    <mergeCell ref="C2:R2"/>
    <mergeCell ref="A4:A5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1"/>
  <sheetViews>
    <sheetView zoomScale="86" zoomScaleNormal="86" zoomScalePageLayoutView="0" workbookViewId="0" topLeftCell="A1">
      <pane xSplit="2" ySplit="3" topLeftCell="H4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00390625" defaultRowHeight="15"/>
  <cols>
    <col min="1" max="1" width="46.28125" style="263" customWidth="1"/>
    <col min="2" max="2" width="7.28125" style="263" bestFit="1" customWidth="1"/>
    <col min="3" max="3" width="10.140625" style="263" customWidth="1"/>
    <col min="4" max="4" width="10.28125" style="263" customWidth="1"/>
    <col min="5" max="5" width="10.140625" style="263" customWidth="1"/>
    <col min="6" max="6" width="10.28125" style="263" customWidth="1"/>
    <col min="7" max="7" width="9.7109375" style="263" customWidth="1"/>
    <col min="8" max="8" width="9.421875" style="263" customWidth="1"/>
    <col min="9" max="10" width="9.8515625" style="263" customWidth="1"/>
    <col min="11" max="11" width="11.140625" style="263" bestFit="1" customWidth="1"/>
    <col min="12" max="12" width="9.140625" style="263" customWidth="1"/>
    <col min="13" max="13" width="9.421875" style="263" customWidth="1"/>
    <col min="14" max="14" width="9.8515625" style="263" customWidth="1"/>
    <col min="15" max="15" width="10.421875" style="263" customWidth="1"/>
    <col min="16" max="16" width="9.8515625" style="263" customWidth="1"/>
    <col min="17" max="17" width="9.7109375" style="263" customWidth="1"/>
    <col min="18" max="18" width="11.140625" style="263" customWidth="1"/>
    <col min="19" max="19" width="13.28125" style="268" customWidth="1"/>
    <col min="20" max="20" width="12.7109375" style="263" customWidth="1"/>
    <col min="21" max="21" width="15.421875" style="263" customWidth="1"/>
    <col min="22" max="16384" width="9.00390625" style="263" customWidth="1"/>
  </cols>
  <sheetData>
    <row r="1" spans="1:19" s="255" customFormat="1" ht="12.75">
      <c r="A1" s="563" t="s">
        <v>412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</row>
    <row r="2" spans="1:19" s="255" customFormat="1" ht="12.75">
      <c r="A2" s="256"/>
      <c r="B2" s="564" t="s">
        <v>132</v>
      </c>
      <c r="C2" s="564" t="s">
        <v>133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5"/>
      <c r="S2" s="257"/>
    </row>
    <row r="3" spans="1:21" s="255" customFormat="1" ht="12.75">
      <c r="A3" s="256"/>
      <c r="B3" s="564"/>
      <c r="C3" s="256">
        <v>1</v>
      </c>
      <c r="D3" s="256">
        <v>2</v>
      </c>
      <c r="E3" s="256">
        <v>3</v>
      </c>
      <c r="F3" s="258" t="s">
        <v>134</v>
      </c>
      <c r="G3" s="256">
        <v>4</v>
      </c>
      <c r="H3" s="256">
        <v>5</v>
      </c>
      <c r="I3" s="256">
        <v>6</v>
      </c>
      <c r="J3" s="258" t="s">
        <v>135</v>
      </c>
      <c r="K3" s="256">
        <v>7</v>
      </c>
      <c r="L3" s="256">
        <v>8</v>
      </c>
      <c r="M3" s="256">
        <v>9</v>
      </c>
      <c r="N3" s="258" t="s">
        <v>136</v>
      </c>
      <c r="O3" s="256">
        <v>10</v>
      </c>
      <c r="P3" s="256">
        <v>11</v>
      </c>
      <c r="Q3" s="256">
        <v>12</v>
      </c>
      <c r="R3" s="258" t="s">
        <v>137</v>
      </c>
      <c r="S3" s="259"/>
      <c r="U3" s="292" t="s">
        <v>337</v>
      </c>
    </row>
    <row r="4" spans="1:21" ht="13.5">
      <c r="A4" s="566" t="s">
        <v>160</v>
      </c>
      <c r="B4" s="260">
        <v>211</v>
      </c>
      <c r="C4" s="261"/>
      <c r="D4" s="261"/>
      <c r="E4" s="261"/>
      <c r="F4" s="262">
        <f>SUM(C4:E4)</f>
        <v>0</v>
      </c>
      <c r="G4" s="261"/>
      <c r="H4" s="261"/>
      <c r="I4" s="261"/>
      <c r="J4" s="262">
        <f>SUM(G4:I4)</f>
        <v>0</v>
      </c>
      <c r="K4" s="261"/>
      <c r="L4" s="261"/>
      <c r="M4" s="261"/>
      <c r="N4" s="262">
        <f>SUM(K4:M4)</f>
        <v>0</v>
      </c>
      <c r="O4" s="261"/>
      <c r="P4" s="261"/>
      <c r="Q4" s="261"/>
      <c r="R4" s="262">
        <f>SUM(O4:Q4)</f>
        <v>0</v>
      </c>
      <c r="S4" s="288">
        <f aca="true" t="shared" si="0" ref="S4:S44">R4+N4+J4+F4</f>
        <v>0</v>
      </c>
      <c r="T4" s="268">
        <f>проверка!D7</f>
        <v>0</v>
      </c>
      <c r="U4" s="293">
        <f>S4-T4</f>
        <v>0</v>
      </c>
    </row>
    <row r="5" spans="1:21" ht="13.5">
      <c r="A5" s="567"/>
      <c r="B5" s="260">
        <v>213</v>
      </c>
      <c r="C5" s="261"/>
      <c r="D5" s="261"/>
      <c r="E5" s="261"/>
      <c r="F5" s="262">
        <f aca="true" t="shared" si="1" ref="F5:F44">SUM(C5:E5)</f>
        <v>0</v>
      </c>
      <c r="G5" s="261"/>
      <c r="H5" s="261"/>
      <c r="I5" s="261"/>
      <c r="J5" s="262">
        <f aca="true" t="shared" si="2" ref="J5:J36">SUM(G5:I5)</f>
        <v>0</v>
      </c>
      <c r="K5" s="261"/>
      <c r="L5" s="261"/>
      <c r="M5" s="261"/>
      <c r="N5" s="262">
        <f>SUM(K5:M5)</f>
        <v>0</v>
      </c>
      <c r="O5" s="261"/>
      <c r="P5" s="261"/>
      <c r="Q5" s="261"/>
      <c r="R5" s="262">
        <f>SUM(O5:Q5)</f>
        <v>0</v>
      </c>
      <c r="S5" s="288">
        <f t="shared" si="0"/>
        <v>0</v>
      </c>
      <c r="T5" s="268">
        <f>проверка!D8</f>
        <v>0</v>
      </c>
      <c r="U5" s="293">
        <f aca="true" t="shared" si="3" ref="U5:U44">S5-T5</f>
        <v>0</v>
      </c>
    </row>
    <row r="6" spans="1:21" ht="13.5">
      <c r="A6" s="264" t="s">
        <v>138</v>
      </c>
      <c r="B6" s="260">
        <v>211</v>
      </c>
      <c r="C6" s="278">
        <v>2216540</v>
      </c>
      <c r="D6" s="278">
        <f>C6</f>
        <v>2216540</v>
      </c>
      <c r="E6" s="278">
        <f>D6</f>
        <v>2216540</v>
      </c>
      <c r="F6" s="262">
        <f t="shared" si="1"/>
        <v>6649620</v>
      </c>
      <c r="G6" s="388">
        <f>E6</f>
        <v>2216540</v>
      </c>
      <c r="H6" s="278">
        <f>ROUND(C6*1.7,0)</f>
        <v>3768118</v>
      </c>
      <c r="I6" s="278">
        <f>ROUND(C6*1.4,0)</f>
        <v>3103156</v>
      </c>
      <c r="J6" s="262">
        <f t="shared" si="2"/>
        <v>9087814</v>
      </c>
      <c r="K6" s="278">
        <f>ROUND(C6*0.3,0)</f>
        <v>664962</v>
      </c>
      <c r="L6" s="278">
        <f>ROUND(C6*0.6,0)</f>
        <v>1329924</v>
      </c>
      <c r="M6" s="278">
        <f>N6-K6-L6</f>
        <v>2302063</v>
      </c>
      <c r="N6" s="262">
        <v>4296949</v>
      </c>
      <c r="O6" s="278">
        <f>M6</f>
        <v>2302063</v>
      </c>
      <c r="P6" s="278">
        <f>M6</f>
        <v>2302063</v>
      </c>
      <c r="Q6" s="278">
        <f>R6-O6-P6</f>
        <v>2302060</v>
      </c>
      <c r="R6" s="262">
        <v>6906186</v>
      </c>
      <c r="S6" s="288">
        <f t="shared" si="0"/>
        <v>26940569</v>
      </c>
      <c r="T6" s="268">
        <f>проверка!D9</f>
        <v>26940569</v>
      </c>
      <c r="U6" s="293">
        <f t="shared" si="3"/>
        <v>0</v>
      </c>
    </row>
    <row r="7" spans="1:21" s="266" customFormat="1" ht="39">
      <c r="A7" s="67" t="s">
        <v>158</v>
      </c>
      <c r="B7" s="265">
        <v>211</v>
      </c>
      <c r="C7" s="261">
        <v>1556179</v>
      </c>
      <c r="D7" s="261">
        <f>C7</f>
        <v>1556179</v>
      </c>
      <c r="E7" s="261">
        <f>D7</f>
        <v>1556179</v>
      </c>
      <c r="F7" s="262">
        <f t="shared" si="1"/>
        <v>4668537</v>
      </c>
      <c r="G7" s="261">
        <f>E7</f>
        <v>1556179</v>
      </c>
      <c r="H7" s="261">
        <f>ROUND(C7*1.7,0)</f>
        <v>2645504</v>
      </c>
      <c r="I7" s="261">
        <f>ROUND(C7*1.4,0)</f>
        <v>2178651</v>
      </c>
      <c r="J7" s="262">
        <f t="shared" si="2"/>
        <v>6380334</v>
      </c>
      <c r="K7" s="261">
        <f>ROUND(C7*0.3,0)</f>
        <v>466854</v>
      </c>
      <c r="L7" s="261">
        <f>ROUND(C7*0.6,0)</f>
        <v>933707</v>
      </c>
      <c r="M7" s="261">
        <f>E7</f>
        <v>1556179</v>
      </c>
      <c r="N7" s="262">
        <f>SUM(K7:M7)</f>
        <v>2956740</v>
      </c>
      <c r="O7" s="261">
        <f>M7</f>
        <v>1556179</v>
      </c>
      <c r="P7" s="261">
        <f>M7</f>
        <v>1556179</v>
      </c>
      <c r="Q7" s="261">
        <f>M7+7</f>
        <v>1556186</v>
      </c>
      <c r="R7" s="262">
        <f>SUM(O7:Q7)</f>
        <v>4668544</v>
      </c>
      <c r="S7" s="288">
        <f t="shared" si="0"/>
        <v>18674155</v>
      </c>
      <c r="T7" s="267">
        <f>свод!F24</f>
        <v>18674155</v>
      </c>
      <c r="U7" s="293">
        <f>S7-T7</f>
        <v>0</v>
      </c>
    </row>
    <row r="8" spans="1:21" ht="52.5">
      <c r="A8" s="67" t="s">
        <v>157</v>
      </c>
      <c r="B8" s="264">
        <v>211</v>
      </c>
      <c r="C8" s="256">
        <f>C6-C7</f>
        <v>660361</v>
      </c>
      <c r="D8" s="256">
        <f>D6-D7</f>
        <v>660361</v>
      </c>
      <c r="E8" s="256">
        <f>E6-E7</f>
        <v>660361</v>
      </c>
      <c r="F8" s="262">
        <f t="shared" si="1"/>
        <v>1981083</v>
      </c>
      <c r="G8" s="256">
        <f>G6-G7</f>
        <v>660361</v>
      </c>
      <c r="H8" s="256">
        <f>H6-H7</f>
        <v>1122614</v>
      </c>
      <c r="I8" s="256">
        <f>I6-I7</f>
        <v>924505</v>
      </c>
      <c r="J8" s="262">
        <f t="shared" si="2"/>
        <v>2707480</v>
      </c>
      <c r="K8" s="256">
        <f>K6-K7</f>
        <v>198108</v>
      </c>
      <c r="L8" s="256">
        <f>L6-L7</f>
        <v>396217</v>
      </c>
      <c r="M8" s="256">
        <f>M6-M7</f>
        <v>745884</v>
      </c>
      <c r="N8" s="262">
        <f>SUM(K8:M8)</f>
        <v>1340209</v>
      </c>
      <c r="O8" s="256">
        <f>O6-O7</f>
        <v>745884</v>
      </c>
      <c r="P8" s="256">
        <f>P6-P7</f>
        <v>745884</v>
      </c>
      <c r="Q8" s="256">
        <f>Q6-Q7</f>
        <v>745874</v>
      </c>
      <c r="R8" s="262">
        <f>SUM(O8:Q8)</f>
        <v>2237642</v>
      </c>
      <c r="S8" s="288">
        <f t="shared" si="0"/>
        <v>8266414</v>
      </c>
      <c r="T8" s="263">
        <f>свод!F36</f>
        <v>8266414</v>
      </c>
      <c r="U8" s="293">
        <f t="shared" si="3"/>
        <v>0</v>
      </c>
    </row>
    <row r="9" spans="1:21" ht="13.5">
      <c r="A9" s="264" t="s">
        <v>138</v>
      </c>
      <c r="B9" s="260">
        <v>213</v>
      </c>
      <c r="C9" s="278">
        <f>ROUND(C6*0.302,0)</f>
        <v>669395</v>
      </c>
      <c r="D9" s="278">
        <f>C9</f>
        <v>669395</v>
      </c>
      <c r="E9" s="278">
        <f>D9</f>
        <v>669395</v>
      </c>
      <c r="F9" s="262">
        <f t="shared" si="1"/>
        <v>2008185</v>
      </c>
      <c r="G9" s="388">
        <f>E9</f>
        <v>669395</v>
      </c>
      <c r="H9" s="278">
        <f>ROUND(C9*1.7,0)-1</f>
        <v>1137971</v>
      </c>
      <c r="I9" s="278">
        <f>ROUND(C9*1.4,0)</f>
        <v>937153</v>
      </c>
      <c r="J9" s="262">
        <f>SUM(G9:I9)</f>
        <v>2744519</v>
      </c>
      <c r="K9" s="278">
        <f>ROUND(C9*0.3,0)</f>
        <v>200819</v>
      </c>
      <c r="L9" s="278">
        <f>ROUND(C9*0.6,0)</f>
        <v>401637</v>
      </c>
      <c r="M9" s="278">
        <f>N9-K9-L9</f>
        <v>695223</v>
      </c>
      <c r="N9" s="262">
        <v>1297679</v>
      </c>
      <c r="O9" s="278">
        <f>M9-1</f>
        <v>695222</v>
      </c>
      <c r="P9" s="278">
        <f>M9-1</f>
        <v>695222</v>
      </c>
      <c r="Q9" s="278">
        <f>R9-O9-P9</f>
        <v>695225</v>
      </c>
      <c r="R9" s="262">
        <v>2085669</v>
      </c>
      <c r="S9" s="288">
        <f t="shared" si="0"/>
        <v>8136052</v>
      </c>
      <c r="T9" s="268">
        <f>проверка!D10</f>
        <v>8136052</v>
      </c>
      <c r="U9" s="293">
        <f t="shared" si="3"/>
        <v>0</v>
      </c>
    </row>
    <row r="10" spans="1:21" ht="39">
      <c r="A10" s="67" t="s">
        <v>158</v>
      </c>
      <c r="B10" s="264">
        <v>213</v>
      </c>
      <c r="C10" s="256">
        <f>ROUND(C7*0.302,0)</f>
        <v>469966</v>
      </c>
      <c r="D10" s="261">
        <f>C10</f>
        <v>469966</v>
      </c>
      <c r="E10" s="261">
        <f>D10</f>
        <v>469966</v>
      </c>
      <c r="F10" s="262">
        <f t="shared" si="1"/>
        <v>1409898</v>
      </c>
      <c r="G10" s="261">
        <f>E10</f>
        <v>469966</v>
      </c>
      <c r="H10" s="256">
        <f>ROUND(C10*1.7,0)</f>
        <v>798942</v>
      </c>
      <c r="I10" s="256">
        <f>ROUND(C10*1.4,0)</f>
        <v>657952</v>
      </c>
      <c r="J10" s="262">
        <f t="shared" si="2"/>
        <v>1926860</v>
      </c>
      <c r="K10" s="261">
        <f>ROUND(C10*0.3,0)</f>
        <v>140990</v>
      </c>
      <c r="L10" s="261">
        <f>ROUND(C10*0.6,0)</f>
        <v>281980</v>
      </c>
      <c r="M10" s="261">
        <f>E10</f>
        <v>469966</v>
      </c>
      <c r="N10" s="262">
        <f aca="true" t="shared" si="4" ref="N10:N16">SUM(K10:M10)</f>
        <v>892936</v>
      </c>
      <c r="O10" s="256">
        <f>M10</f>
        <v>469966</v>
      </c>
      <c r="P10" s="256">
        <f>M10</f>
        <v>469966</v>
      </c>
      <c r="Q10" s="256">
        <f>M10+3</f>
        <v>469969</v>
      </c>
      <c r="R10" s="262">
        <f aca="true" t="shared" si="5" ref="R10:R16">SUM(O10:Q10)</f>
        <v>1409901</v>
      </c>
      <c r="S10" s="288">
        <f t="shared" si="0"/>
        <v>5639595</v>
      </c>
      <c r="T10" s="268">
        <f>свод!F25</f>
        <v>5639595</v>
      </c>
      <c r="U10" s="293">
        <f t="shared" si="3"/>
        <v>0</v>
      </c>
    </row>
    <row r="11" spans="1:21" s="270" customFormat="1" ht="52.5">
      <c r="A11" s="67" t="s">
        <v>157</v>
      </c>
      <c r="B11" s="269">
        <v>213</v>
      </c>
      <c r="C11" s="256">
        <f>C9-C10</f>
        <v>199429</v>
      </c>
      <c r="D11" s="256">
        <f>D9-D10</f>
        <v>199429</v>
      </c>
      <c r="E11" s="256">
        <f>E9-E10</f>
        <v>199429</v>
      </c>
      <c r="F11" s="262">
        <f t="shared" si="1"/>
        <v>598287</v>
      </c>
      <c r="G11" s="256">
        <f>G9-G10</f>
        <v>199429</v>
      </c>
      <c r="H11" s="256">
        <f>H9-H10</f>
        <v>339029</v>
      </c>
      <c r="I11" s="256">
        <f>I9-I10</f>
        <v>279201</v>
      </c>
      <c r="J11" s="262">
        <f t="shared" si="2"/>
        <v>817659</v>
      </c>
      <c r="K11" s="256">
        <f>K9-K10</f>
        <v>59829</v>
      </c>
      <c r="L11" s="256">
        <f>L9-L10</f>
        <v>119657</v>
      </c>
      <c r="M11" s="256">
        <f>M9-M10</f>
        <v>225257</v>
      </c>
      <c r="N11" s="262">
        <f t="shared" si="4"/>
        <v>404743</v>
      </c>
      <c r="O11" s="256">
        <f>O9-O10</f>
        <v>225256</v>
      </c>
      <c r="P11" s="256">
        <f>P9-P10</f>
        <v>225256</v>
      </c>
      <c r="Q11" s="256">
        <f>Q9-Q10</f>
        <v>225256</v>
      </c>
      <c r="R11" s="262">
        <f t="shared" si="5"/>
        <v>675768</v>
      </c>
      <c r="S11" s="288">
        <f t="shared" si="0"/>
        <v>2496457</v>
      </c>
      <c r="T11" s="266">
        <f>свод!F38</f>
        <v>2496457</v>
      </c>
      <c r="U11" s="293">
        <f t="shared" si="3"/>
        <v>0</v>
      </c>
    </row>
    <row r="12" spans="1:21" s="270" customFormat="1" ht="13.5">
      <c r="A12" s="67" t="s">
        <v>437</v>
      </c>
      <c r="B12" s="264">
        <v>221</v>
      </c>
      <c r="C12" s="256">
        <v>25000</v>
      </c>
      <c r="D12" s="256">
        <v>25000</v>
      </c>
      <c r="E12" s="256">
        <v>25000</v>
      </c>
      <c r="F12" s="262">
        <f>SUM(C12:E12)</f>
        <v>75000</v>
      </c>
      <c r="G12" s="256">
        <v>25000</v>
      </c>
      <c r="H12" s="256">
        <v>25000</v>
      </c>
      <c r="I12" s="256">
        <v>25000</v>
      </c>
      <c r="J12" s="262">
        <f>SUM(G12:I12)</f>
        <v>75000</v>
      </c>
      <c r="K12" s="256"/>
      <c r="L12" s="256"/>
      <c r="M12" s="256">
        <v>25000</v>
      </c>
      <c r="N12" s="262">
        <f t="shared" si="4"/>
        <v>25000</v>
      </c>
      <c r="O12" s="256">
        <v>25000</v>
      </c>
      <c r="P12" s="256">
        <v>25000</v>
      </c>
      <c r="Q12" s="256">
        <v>25000</v>
      </c>
      <c r="R12" s="262">
        <f>SUM(O12:Q12)</f>
        <v>75000</v>
      </c>
      <c r="S12" s="288">
        <f>R12+N12+J12+F12</f>
        <v>250000</v>
      </c>
      <c r="T12" s="267">
        <f>проверка!D11</f>
        <v>250000</v>
      </c>
      <c r="U12" s="293">
        <f>S12-T12</f>
        <v>0</v>
      </c>
    </row>
    <row r="13" spans="1:21" s="270" customFormat="1" ht="13.5">
      <c r="A13" s="67" t="s">
        <v>329</v>
      </c>
      <c r="B13" s="264">
        <v>226</v>
      </c>
      <c r="C13" s="256"/>
      <c r="D13" s="256">
        <v>78320</v>
      </c>
      <c r="E13" s="256">
        <v>15874</v>
      </c>
      <c r="F13" s="262">
        <f>SUM(C13:E13)</f>
        <v>94194</v>
      </c>
      <c r="G13" s="256"/>
      <c r="H13" s="256">
        <v>46920</v>
      </c>
      <c r="I13" s="256">
        <v>15874</v>
      </c>
      <c r="J13" s="262">
        <f>SUM(G13:I13)</f>
        <v>62794</v>
      </c>
      <c r="K13" s="256"/>
      <c r="L13" s="256"/>
      <c r="M13" s="256">
        <v>15874</v>
      </c>
      <c r="N13" s="262">
        <f t="shared" si="4"/>
        <v>15874</v>
      </c>
      <c r="O13" s="256"/>
      <c r="P13" s="256"/>
      <c r="Q13" s="256"/>
      <c r="R13" s="262">
        <f t="shared" si="5"/>
        <v>0</v>
      </c>
      <c r="S13" s="288">
        <f>R13+N13+J13+F13</f>
        <v>172862</v>
      </c>
      <c r="T13" s="267">
        <f>проверка!D12</f>
        <v>172862</v>
      </c>
      <c r="U13" s="293">
        <f>S13-T13</f>
        <v>0</v>
      </c>
    </row>
    <row r="14" spans="1:21" s="270" customFormat="1" ht="13.5">
      <c r="A14" s="67" t="s">
        <v>149</v>
      </c>
      <c r="B14" s="264">
        <v>310</v>
      </c>
      <c r="C14" s="256"/>
      <c r="D14" s="256"/>
      <c r="E14" s="256"/>
      <c r="F14" s="262">
        <f t="shared" si="1"/>
        <v>0</v>
      </c>
      <c r="G14" s="256">
        <v>135000</v>
      </c>
      <c r="H14" s="256"/>
      <c r="I14" s="256"/>
      <c r="J14" s="262">
        <f t="shared" si="2"/>
        <v>135000</v>
      </c>
      <c r="K14" s="256"/>
      <c r="L14" s="256"/>
      <c r="M14" s="256"/>
      <c r="N14" s="262">
        <f t="shared" si="4"/>
        <v>0</v>
      </c>
      <c r="O14" s="256"/>
      <c r="P14" s="256">
        <v>135000</v>
      </c>
      <c r="Q14" s="256"/>
      <c r="R14" s="262">
        <f t="shared" si="5"/>
        <v>135000</v>
      </c>
      <c r="S14" s="288">
        <f t="shared" si="0"/>
        <v>270000</v>
      </c>
      <c r="T14" s="267">
        <f>проверка!D13</f>
        <v>270000</v>
      </c>
      <c r="U14" s="293">
        <f t="shared" si="3"/>
        <v>0</v>
      </c>
    </row>
    <row r="15" spans="1:21" s="270" customFormat="1" ht="13.5">
      <c r="A15" s="254" t="s">
        <v>150</v>
      </c>
      <c r="B15" s="264">
        <v>340</v>
      </c>
      <c r="C15" s="256"/>
      <c r="D15" s="256"/>
      <c r="E15" s="256"/>
      <c r="F15" s="262">
        <f t="shared" si="1"/>
        <v>0</v>
      </c>
      <c r="G15" s="256">
        <v>22878</v>
      </c>
      <c r="H15" s="256"/>
      <c r="I15" s="256"/>
      <c r="J15" s="262">
        <f t="shared" si="2"/>
        <v>22878</v>
      </c>
      <c r="K15" s="256"/>
      <c r="L15" s="256"/>
      <c r="M15" s="256"/>
      <c r="N15" s="262">
        <f t="shared" si="4"/>
        <v>0</v>
      </c>
      <c r="O15" s="256"/>
      <c r="P15" s="256">
        <v>21810</v>
      </c>
      <c r="Q15" s="256"/>
      <c r="R15" s="262">
        <f t="shared" si="5"/>
        <v>21810</v>
      </c>
      <c r="S15" s="288">
        <f t="shared" si="0"/>
        <v>44688</v>
      </c>
      <c r="T15" s="267">
        <f>проверка!D14</f>
        <v>44688</v>
      </c>
      <c r="U15" s="293">
        <f t="shared" si="3"/>
        <v>0</v>
      </c>
    </row>
    <row r="16" spans="1:21" s="270" customFormat="1" ht="13.5">
      <c r="A16" s="254" t="s">
        <v>327</v>
      </c>
      <c r="B16" s="264"/>
      <c r="C16" s="256">
        <f>C15+C14+C9+C6+C13+C12</f>
        <v>2910935</v>
      </c>
      <c r="D16" s="256">
        <f>D15+D14+D9+D6+D13+D12</f>
        <v>2989255</v>
      </c>
      <c r="E16" s="256">
        <f>E15+E14+E9+E6+E13+E12</f>
        <v>2926809</v>
      </c>
      <c r="F16" s="262">
        <f>SUM(C16:E16)</f>
        <v>8826999</v>
      </c>
      <c r="G16" s="389">
        <f>G15+G14+G9+G6+G13+G12</f>
        <v>3068813</v>
      </c>
      <c r="H16" s="389">
        <f>H15+H14+H9+H6+H13+H12</f>
        <v>4978009</v>
      </c>
      <c r="I16" s="389">
        <f>I15+I14+I9+I6+I13+I12</f>
        <v>4081183</v>
      </c>
      <c r="J16" s="390">
        <f>SUM(G16:I16)</f>
        <v>12128005</v>
      </c>
      <c r="K16" s="256">
        <f>K15+K14+K9+K6+K13+K12</f>
        <v>865781</v>
      </c>
      <c r="L16" s="256">
        <f>L15+L14+L9+L6+L13+L12</f>
        <v>1731561</v>
      </c>
      <c r="M16" s="256">
        <f>M15+M14+M9+M6+M13+M12</f>
        <v>3038160</v>
      </c>
      <c r="N16" s="262">
        <f t="shared" si="4"/>
        <v>5635502</v>
      </c>
      <c r="O16" s="256">
        <f>O15+O14+O9+O6+O13+O12</f>
        <v>3022285</v>
      </c>
      <c r="P16" s="256">
        <f>P15+P14+P9+P6+P13+P12</f>
        <v>3179095</v>
      </c>
      <c r="Q16" s="256">
        <f>Q15+Q14+Q9+Q6+Q13+Q12</f>
        <v>3022285</v>
      </c>
      <c r="R16" s="262">
        <f t="shared" si="5"/>
        <v>9223665</v>
      </c>
      <c r="S16" s="288">
        <f>R16+N16+J16+F16</f>
        <v>35814171</v>
      </c>
      <c r="T16" s="267">
        <f>проверка!D9+проверка!D10+проверка!D13+проверка!D14+проверка!D12+проверка!D11</f>
        <v>35814171</v>
      </c>
      <c r="U16" s="293">
        <f t="shared" si="3"/>
        <v>0</v>
      </c>
    </row>
    <row r="17" spans="1:21" ht="13.5">
      <c r="A17" s="264" t="s">
        <v>139</v>
      </c>
      <c r="B17" s="260">
        <v>211</v>
      </c>
      <c r="C17" s="278">
        <v>98906</v>
      </c>
      <c r="D17" s="278">
        <v>247266</v>
      </c>
      <c r="E17" s="278">
        <v>247266</v>
      </c>
      <c r="F17" s="262">
        <f t="shared" si="1"/>
        <v>593438</v>
      </c>
      <c r="G17" s="388">
        <v>247266</v>
      </c>
      <c r="H17" s="278">
        <v>427266</v>
      </c>
      <c r="I17" s="278">
        <v>190899</v>
      </c>
      <c r="J17" s="390">
        <f>SUM(G17:I17)</f>
        <v>865431</v>
      </c>
      <c r="K17" s="278">
        <v>223281</v>
      </c>
      <c r="L17" s="278">
        <v>110000</v>
      </c>
      <c r="M17" s="278">
        <f>N17-K17-L17</f>
        <v>251481</v>
      </c>
      <c r="N17" s="262">
        <v>584762</v>
      </c>
      <c r="O17" s="278">
        <v>163758.75</v>
      </c>
      <c r="P17" s="278">
        <v>163758.75</v>
      </c>
      <c r="Q17" s="278">
        <f>R17-O17-P17</f>
        <v>262014.5</v>
      </c>
      <c r="R17" s="262">
        <v>589532</v>
      </c>
      <c r="S17" s="288">
        <f t="shared" si="0"/>
        <v>2633163</v>
      </c>
      <c r="T17" s="268">
        <f>проверка!D15</f>
        <v>2633163</v>
      </c>
      <c r="U17" s="293">
        <f t="shared" si="3"/>
        <v>0</v>
      </c>
    </row>
    <row r="18" spans="1:21" s="266" customFormat="1" ht="39">
      <c r="A18" s="67" t="s">
        <v>158</v>
      </c>
      <c r="B18" s="265">
        <v>211</v>
      </c>
      <c r="C18" s="261"/>
      <c r="D18" s="261"/>
      <c r="E18" s="261"/>
      <c r="F18" s="262">
        <f t="shared" si="1"/>
        <v>0</v>
      </c>
      <c r="G18" s="261"/>
      <c r="H18" s="261"/>
      <c r="I18" s="261"/>
      <c r="J18" s="262">
        <f t="shared" si="2"/>
        <v>0</v>
      </c>
      <c r="K18" s="261"/>
      <c r="L18" s="261"/>
      <c r="M18" s="261"/>
      <c r="N18" s="262">
        <f>SUM(K18:M18)</f>
        <v>0</v>
      </c>
      <c r="O18" s="261"/>
      <c r="P18" s="261"/>
      <c r="Q18" s="261"/>
      <c r="R18" s="262">
        <f>SUM(O18:Q18)</f>
        <v>0</v>
      </c>
      <c r="S18" s="288">
        <f t="shared" si="0"/>
        <v>0</v>
      </c>
      <c r="T18" s="267">
        <f>свод!F15</f>
        <v>0</v>
      </c>
      <c r="U18" s="293">
        <f t="shared" si="3"/>
        <v>0</v>
      </c>
    </row>
    <row r="19" spans="1:21" ht="52.5">
      <c r="A19" s="67" t="s">
        <v>157</v>
      </c>
      <c r="B19" s="264">
        <v>211</v>
      </c>
      <c r="C19" s="256">
        <f>C17-C18</f>
        <v>98906</v>
      </c>
      <c r="D19" s="256">
        <f>D17-D18</f>
        <v>247266</v>
      </c>
      <c r="E19" s="256">
        <f>E17-E18</f>
        <v>247266</v>
      </c>
      <c r="F19" s="262">
        <f t="shared" si="1"/>
        <v>593438</v>
      </c>
      <c r="G19" s="256">
        <f>G17-G18</f>
        <v>247266</v>
      </c>
      <c r="H19" s="256">
        <f>H17-H18</f>
        <v>427266</v>
      </c>
      <c r="I19" s="256">
        <f>I17-I18</f>
        <v>190899</v>
      </c>
      <c r="J19" s="262">
        <f t="shared" si="2"/>
        <v>865431</v>
      </c>
      <c r="K19" s="256">
        <f>K17-K18</f>
        <v>223281</v>
      </c>
      <c r="L19" s="256">
        <f>L17-L18</f>
        <v>110000</v>
      </c>
      <c r="M19" s="256">
        <f>M17-M18</f>
        <v>251481</v>
      </c>
      <c r="N19" s="262">
        <f>SUM(K19:M19)</f>
        <v>584762</v>
      </c>
      <c r="O19" s="256">
        <f>O17-O18</f>
        <v>163758.75</v>
      </c>
      <c r="P19" s="256">
        <f>P17-P18</f>
        <v>163758.75</v>
      </c>
      <c r="Q19" s="256">
        <f>Q17-Q18</f>
        <v>262014.5</v>
      </c>
      <c r="R19" s="262">
        <f>SUM(O19:Q19)</f>
        <v>589532</v>
      </c>
      <c r="S19" s="288">
        <f t="shared" si="0"/>
        <v>2633163</v>
      </c>
      <c r="T19" s="268">
        <f>свод!F41</f>
        <v>2633163</v>
      </c>
      <c r="U19" s="293">
        <f t="shared" si="3"/>
        <v>0</v>
      </c>
    </row>
    <row r="20" spans="1:21" ht="13.5">
      <c r="A20" s="264" t="s">
        <v>139</v>
      </c>
      <c r="B20" s="260">
        <v>213</v>
      </c>
      <c r="C20" s="278"/>
      <c r="D20" s="278">
        <v>74674</v>
      </c>
      <c r="E20" s="278">
        <f>74674+99474</f>
        <v>174148</v>
      </c>
      <c r="F20" s="262">
        <f t="shared" si="1"/>
        <v>248822</v>
      </c>
      <c r="G20" s="278">
        <v>74674</v>
      </c>
      <c r="H20" s="278">
        <v>129034</v>
      </c>
      <c r="I20" s="278">
        <v>57652</v>
      </c>
      <c r="J20" s="262">
        <f t="shared" si="2"/>
        <v>261360</v>
      </c>
      <c r="K20" s="399">
        <v>102680</v>
      </c>
      <c r="L20" s="278">
        <v>6040</v>
      </c>
      <c r="M20" s="399">
        <f>N20-K20-L20</f>
        <v>77966</v>
      </c>
      <c r="N20" s="262">
        <v>186686</v>
      </c>
      <c r="O20" s="278">
        <f>ROUND(O17*0.302,0)</f>
        <v>49455</v>
      </c>
      <c r="P20" s="278">
        <v>48892</v>
      </c>
      <c r="Q20" s="278"/>
      <c r="R20" s="262">
        <f>SUM(O20:Q20)</f>
        <v>98347</v>
      </c>
      <c r="S20" s="288">
        <f t="shared" si="0"/>
        <v>795215</v>
      </c>
      <c r="T20" s="268">
        <f>проверка!D17</f>
        <v>795215</v>
      </c>
      <c r="U20" s="293">
        <f t="shared" si="3"/>
        <v>0</v>
      </c>
    </row>
    <row r="21" spans="1:21" ht="39">
      <c r="A21" s="67" t="s">
        <v>158</v>
      </c>
      <c r="B21" s="265">
        <v>213</v>
      </c>
      <c r="C21" s="261"/>
      <c r="D21" s="261"/>
      <c r="E21" s="261"/>
      <c r="F21" s="262">
        <f t="shared" si="1"/>
        <v>0</v>
      </c>
      <c r="G21" s="261"/>
      <c r="H21" s="261"/>
      <c r="I21" s="261"/>
      <c r="J21" s="262">
        <f t="shared" si="2"/>
        <v>0</v>
      </c>
      <c r="K21" s="261"/>
      <c r="L21" s="261"/>
      <c r="M21" s="261"/>
      <c r="N21" s="262">
        <f>SUM(K21:M21)</f>
        <v>0</v>
      </c>
      <c r="O21" s="261"/>
      <c r="P21" s="261"/>
      <c r="Q21" s="261"/>
      <c r="R21" s="262">
        <f>SUM(O21:Q21)</f>
        <v>0</v>
      </c>
      <c r="S21" s="288">
        <f t="shared" si="0"/>
        <v>0</v>
      </c>
      <c r="T21" s="268">
        <f>свод!F16</f>
        <v>0</v>
      </c>
      <c r="U21" s="293">
        <f t="shared" si="3"/>
        <v>0</v>
      </c>
    </row>
    <row r="22" spans="1:21" s="266" customFormat="1" ht="52.5">
      <c r="A22" s="67" t="s">
        <v>157</v>
      </c>
      <c r="B22" s="264">
        <v>213</v>
      </c>
      <c r="C22" s="256">
        <f>C20-C21</f>
        <v>0</v>
      </c>
      <c r="D22" s="256">
        <f>D20-D21</f>
        <v>74674</v>
      </c>
      <c r="E22" s="256">
        <f>E20-E21</f>
        <v>174148</v>
      </c>
      <c r="F22" s="262">
        <f t="shared" si="1"/>
        <v>248822</v>
      </c>
      <c r="G22" s="256">
        <f>G20-G21</f>
        <v>74674</v>
      </c>
      <c r="H22" s="256">
        <f>H20-H21</f>
        <v>129034</v>
      </c>
      <c r="I22" s="256">
        <f>I20-I21</f>
        <v>57652</v>
      </c>
      <c r="J22" s="262">
        <f t="shared" si="2"/>
        <v>261360</v>
      </c>
      <c r="K22" s="256">
        <f>K20-K21</f>
        <v>102680</v>
      </c>
      <c r="L22" s="256">
        <f>L20-L21</f>
        <v>6040</v>
      </c>
      <c r="M22" s="256">
        <f>M20-M21</f>
        <v>77966</v>
      </c>
      <c r="N22" s="262">
        <f>SUM(K22:M22)</f>
        <v>186686</v>
      </c>
      <c r="O22" s="256">
        <f>O20-O21</f>
        <v>49455</v>
      </c>
      <c r="P22" s="256">
        <f>P20-P21</f>
        <v>48892</v>
      </c>
      <c r="Q22" s="256">
        <f>Q20-Q21</f>
        <v>0</v>
      </c>
      <c r="R22" s="262">
        <f>SUM(O22:Q22)</f>
        <v>98347</v>
      </c>
      <c r="S22" s="288">
        <f t="shared" si="0"/>
        <v>795215</v>
      </c>
      <c r="T22" s="267">
        <f>свод!F43</f>
        <v>795215</v>
      </c>
      <c r="U22" s="293">
        <f t="shared" si="3"/>
        <v>0</v>
      </c>
    </row>
    <row r="23" spans="1:21" ht="26.25">
      <c r="A23" s="67" t="s">
        <v>140</v>
      </c>
      <c r="B23" s="264">
        <v>212</v>
      </c>
      <c r="C23" s="256">
        <v>0</v>
      </c>
      <c r="D23" s="256">
        <v>100</v>
      </c>
      <c r="E23" s="256">
        <v>100</v>
      </c>
      <c r="F23" s="262">
        <f t="shared" si="1"/>
        <v>200</v>
      </c>
      <c r="G23" s="256">
        <v>100</v>
      </c>
      <c r="H23" s="256">
        <v>100</v>
      </c>
      <c r="I23" s="256">
        <v>100</v>
      </c>
      <c r="J23" s="262">
        <f t="shared" si="2"/>
        <v>300</v>
      </c>
      <c r="K23" s="256">
        <v>100</v>
      </c>
      <c r="L23" s="256">
        <v>100</v>
      </c>
      <c r="M23" s="264">
        <v>100</v>
      </c>
      <c r="N23" s="262">
        <f>SUM(K23:M23)</f>
        <v>300</v>
      </c>
      <c r="O23" s="256">
        <v>100</v>
      </c>
      <c r="P23" s="256">
        <v>100</v>
      </c>
      <c r="Q23" s="264">
        <f>R23-O23-P23</f>
        <v>200</v>
      </c>
      <c r="R23" s="262">
        <v>400</v>
      </c>
      <c r="S23" s="288">
        <f t="shared" si="0"/>
        <v>1200</v>
      </c>
      <c r="T23" s="268">
        <f>свод!F44</f>
        <v>1200</v>
      </c>
      <c r="U23" s="293">
        <f t="shared" si="3"/>
        <v>0</v>
      </c>
    </row>
    <row r="24" spans="1:21" ht="13.5">
      <c r="A24" s="67" t="s">
        <v>141</v>
      </c>
      <c r="B24" s="264">
        <v>221</v>
      </c>
      <c r="C24" s="256">
        <v>1500</v>
      </c>
      <c r="D24" s="256">
        <v>3408</v>
      </c>
      <c r="E24" s="256">
        <v>2454</v>
      </c>
      <c r="F24" s="262">
        <f t="shared" si="1"/>
        <v>7362</v>
      </c>
      <c r="G24" s="256">
        <v>2454</v>
      </c>
      <c r="H24" s="256">
        <v>2454</v>
      </c>
      <c r="I24" s="256">
        <v>2454</v>
      </c>
      <c r="J24" s="262">
        <f t="shared" si="2"/>
        <v>7362</v>
      </c>
      <c r="K24" s="256">
        <v>2454</v>
      </c>
      <c r="L24" s="256">
        <v>2454</v>
      </c>
      <c r="M24" s="256">
        <v>2454</v>
      </c>
      <c r="N24" s="262">
        <f>SUM(K24:M24)</f>
        <v>7362</v>
      </c>
      <c r="O24" s="256">
        <v>2454</v>
      </c>
      <c r="P24" s="256">
        <v>2454</v>
      </c>
      <c r="Q24" s="264">
        <f aca="true" t="shared" si="6" ref="Q24:Q31">R24-O24-P24</f>
        <v>2455</v>
      </c>
      <c r="R24" s="262">
        <v>7363</v>
      </c>
      <c r="S24" s="288">
        <f t="shared" si="0"/>
        <v>29449</v>
      </c>
      <c r="T24" s="268">
        <f>проверка!D18</f>
        <v>29449</v>
      </c>
      <c r="U24" s="293">
        <f t="shared" si="3"/>
        <v>0</v>
      </c>
    </row>
    <row r="25" spans="1:21" ht="13.5">
      <c r="A25" s="67" t="s">
        <v>142</v>
      </c>
      <c r="B25" s="264">
        <v>223</v>
      </c>
      <c r="C25" s="264">
        <v>470000</v>
      </c>
      <c r="D25" s="264">
        <v>300000</v>
      </c>
      <c r="E25" s="264">
        <v>133844</v>
      </c>
      <c r="F25" s="262">
        <f t="shared" si="1"/>
        <v>903844</v>
      </c>
      <c r="G25" s="264">
        <v>400000</v>
      </c>
      <c r="H25" s="264">
        <v>150000</v>
      </c>
      <c r="I25" s="264">
        <v>135551</v>
      </c>
      <c r="J25" s="262">
        <f>SUM(G25:I25)</f>
        <v>685551</v>
      </c>
      <c r="K25" s="264">
        <v>135000</v>
      </c>
      <c r="L25" s="264">
        <v>50000</v>
      </c>
      <c r="M25" s="264">
        <f>N25-K25-L25</f>
        <v>57799</v>
      </c>
      <c r="N25" s="262">
        <v>242799</v>
      </c>
      <c r="O25" s="264">
        <v>200000</v>
      </c>
      <c r="P25" s="264">
        <v>400000</v>
      </c>
      <c r="Q25" s="264">
        <f>R25-O25-P25</f>
        <v>424269</v>
      </c>
      <c r="R25" s="262">
        <v>1024269</v>
      </c>
      <c r="S25" s="288">
        <f>R25+N25+J25+F25</f>
        <v>2856463</v>
      </c>
      <c r="T25" s="268">
        <f>проверка!D20</f>
        <v>2856463</v>
      </c>
      <c r="U25" s="293">
        <f t="shared" si="3"/>
        <v>0</v>
      </c>
    </row>
    <row r="26" spans="1:21" ht="13.5">
      <c r="A26" s="253" t="s">
        <v>332</v>
      </c>
      <c r="B26" s="264">
        <v>225</v>
      </c>
      <c r="C26" s="264">
        <v>20149</v>
      </c>
      <c r="D26" s="264">
        <v>20149</v>
      </c>
      <c r="E26" s="264">
        <v>27965</v>
      </c>
      <c r="F26" s="262">
        <f>SUM(C26:E26)</f>
        <v>68263</v>
      </c>
      <c r="G26" s="264">
        <v>20149</v>
      </c>
      <c r="H26" s="264">
        <v>20149</v>
      </c>
      <c r="I26" s="264">
        <v>46845</v>
      </c>
      <c r="J26" s="262">
        <f t="shared" si="2"/>
        <v>87143</v>
      </c>
      <c r="K26" s="264">
        <v>84565</v>
      </c>
      <c r="L26" s="264">
        <v>20149</v>
      </c>
      <c r="M26" s="264">
        <f aca="true" t="shared" si="7" ref="M26:M31">N26-K26-L26</f>
        <v>20149</v>
      </c>
      <c r="N26" s="262">
        <v>124863</v>
      </c>
      <c r="O26" s="264">
        <v>20149</v>
      </c>
      <c r="P26" s="264">
        <v>20149</v>
      </c>
      <c r="Q26" s="264">
        <f t="shared" si="6"/>
        <v>33149</v>
      </c>
      <c r="R26" s="262">
        <v>73447</v>
      </c>
      <c r="S26" s="288">
        <f>R26+N26+J26+F26</f>
        <v>353716</v>
      </c>
      <c r="T26" s="268">
        <f>проверка!D22</f>
        <v>353716</v>
      </c>
      <c r="U26" s="293">
        <f t="shared" si="3"/>
        <v>0</v>
      </c>
    </row>
    <row r="27" spans="1:21" ht="13.5">
      <c r="A27" s="67" t="s">
        <v>329</v>
      </c>
      <c r="B27" s="264">
        <v>226</v>
      </c>
      <c r="C27" s="264">
        <v>2000.2</v>
      </c>
      <c r="D27" s="264">
        <v>2000.2</v>
      </c>
      <c r="E27" s="264">
        <v>27800.6</v>
      </c>
      <c r="F27" s="262">
        <f t="shared" si="1"/>
        <v>31801</v>
      </c>
      <c r="G27" s="264">
        <v>2000.2</v>
      </c>
      <c r="H27" s="264">
        <v>2000.2</v>
      </c>
      <c r="I27" s="264">
        <f>J27-G27-H27</f>
        <v>4830.6</v>
      </c>
      <c r="J27" s="262">
        <v>8831</v>
      </c>
      <c r="K27" s="264">
        <v>220290.6</v>
      </c>
      <c r="L27" s="264">
        <v>2000.2</v>
      </c>
      <c r="M27" s="264">
        <f t="shared" si="7"/>
        <v>2000.1999999999941</v>
      </c>
      <c r="N27" s="262">
        <v>224291</v>
      </c>
      <c r="O27" s="264">
        <v>2000.2</v>
      </c>
      <c r="P27" s="264">
        <v>2000.2</v>
      </c>
      <c r="Q27" s="264">
        <f t="shared" si="6"/>
        <v>4828.6</v>
      </c>
      <c r="R27" s="262">
        <v>8829</v>
      </c>
      <c r="S27" s="288">
        <f t="shared" si="0"/>
        <v>273752</v>
      </c>
      <c r="T27" s="268">
        <f>проверка!D23</f>
        <v>273752</v>
      </c>
      <c r="U27" s="293">
        <f t="shared" si="3"/>
        <v>0</v>
      </c>
    </row>
    <row r="28" spans="1:21" ht="13.5">
      <c r="A28" s="67" t="s">
        <v>438</v>
      </c>
      <c r="B28" s="264">
        <v>290</v>
      </c>
      <c r="C28" s="264"/>
      <c r="D28" s="264"/>
      <c r="E28" s="264"/>
      <c r="F28" s="262">
        <f t="shared" si="1"/>
        <v>0</v>
      </c>
      <c r="G28" s="264"/>
      <c r="H28" s="264"/>
      <c r="I28" s="264"/>
      <c r="J28" s="262">
        <f t="shared" si="2"/>
        <v>0</v>
      </c>
      <c r="K28" s="264"/>
      <c r="L28" s="264"/>
      <c r="M28" s="264">
        <f t="shared" si="7"/>
        <v>0</v>
      </c>
      <c r="N28" s="262"/>
      <c r="O28" s="264"/>
      <c r="P28" s="264"/>
      <c r="Q28" s="264">
        <f t="shared" si="6"/>
        <v>0</v>
      </c>
      <c r="R28" s="262"/>
      <c r="S28" s="288">
        <f t="shared" si="0"/>
        <v>0</v>
      </c>
      <c r="T28" s="263">
        <f>свод!F102</f>
        <v>0</v>
      </c>
      <c r="U28" s="293">
        <f t="shared" si="3"/>
        <v>0</v>
      </c>
    </row>
    <row r="29" spans="1:21" ht="13.5">
      <c r="A29" s="67" t="s">
        <v>331</v>
      </c>
      <c r="B29" s="264">
        <v>290</v>
      </c>
      <c r="C29" s="264">
        <v>184178</v>
      </c>
      <c r="D29" s="264">
        <v>170225</v>
      </c>
      <c r="E29" s="264">
        <v>0</v>
      </c>
      <c r="F29" s="262">
        <f t="shared" si="1"/>
        <v>354403</v>
      </c>
      <c r="G29" s="264">
        <v>184178</v>
      </c>
      <c r="H29" s="264">
        <v>170225</v>
      </c>
      <c r="I29" s="264"/>
      <c r="J29" s="262">
        <f t="shared" si="2"/>
        <v>354403</v>
      </c>
      <c r="K29" s="264">
        <v>184178</v>
      </c>
      <c r="L29" s="264">
        <v>170225</v>
      </c>
      <c r="M29" s="264">
        <f t="shared" si="7"/>
        <v>10000</v>
      </c>
      <c r="N29" s="262">
        <v>364403</v>
      </c>
      <c r="O29" s="264">
        <v>184178</v>
      </c>
      <c r="P29" s="264">
        <v>170225</v>
      </c>
      <c r="Q29" s="264">
        <f t="shared" si="6"/>
        <v>0</v>
      </c>
      <c r="R29" s="262">
        <v>354403</v>
      </c>
      <c r="S29" s="288">
        <f t="shared" si="0"/>
        <v>1427612</v>
      </c>
      <c r="T29" s="268">
        <f>свод!F141</f>
        <v>1427612</v>
      </c>
      <c r="U29" s="293">
        <f t="shared" si="3"/>
        <v>0</v>
      </c>
    </row>
    <row r="30" spans="1:21" ht="13.5">
      <c r="A30" s="67" t="s">
        <v>149</v>
      </c>
      <c r="B30" s="264">
        <v>310</v>
      </c>
      <c r="C30" s="256"/>
      <c r="D30" s="256"/>
      <c r="E30" s="256"/>
      <c r="F30" s="262">
        <f t="shared" si="1"/>
        <v>0</v>
      </c>
      <c r="G30" s="256"/>
      <c r="H30" s="256"/>
      <c r="I30" s="256"/>
      <c r="J30" s="262">
        <f t="shared" si="2"/>
        <v>0</v>
      </c>
      <c r="K30" s="256"/>
      <c r="L30" s="256"/>
      <c r="M30" s="264">
        <f t="shared" si="7"/>
        <v>0</v>
      </c>
      <c r="N30" s="262"/>
      <c r="O30" s="256"/>
      <c r="P30" s="256"/>
      <c r="Q30" s="264">
        <f t="shared" si="6"/>
        <v>0</v>
      </c>
      <c r="R30" s="262"/>
      <c r="S30" s="288">
        <f t="shared" si="0"/>
        <v>0</v>
      </c>
      <c r="U30" s="293">
        <f t="shared" si="3"/>
        <v>0</v>
      </c>
    </row>
    <row r="31" spans="1:21" ht="13.5">
      <c r="A31" s="254" t="s">
        <v>150</v>
      </c>
      <c r="B31" s="264">
        <v>340</v>
      </c>
      <c r="C31" s="256">
        <v>0</v>
      </c>
      <c r="D31" s="256">
        <v>0</v>
      </c>
      <c r="E31" s="256">
        <v>0</v>
      </c>
      <c r="F31" s="262">
        <f t="shared" si="1"/>
        <v>0</v>
      </c>
      <c r="G31" s="256">
        <v>0</v>
      </c>
      <c r="H31" s="256"/>
      <c r="I31" s="256"/>
      <c r="J31" s="262">
        <f t="shared" si="2"/>
        <v>0</v>
      </c>
      <c r="K31" s="256"/>
      <c r="L31" s="256"/>
      <c r="M31" s="264">
        <f t="shared" si="7"/>
        <v>0</v>
      </c>
      <c r="N31" s="262"/>
      <c r="O31" s="256"/>
      <c r="P31" s="256"/>
      <c r="Q31" s="264">
        <f t="shared" si="6"/>
        <v>0</v>
      </c>
      <c r="R31" s="262"/>
      <c r="S31" s="288">
        <f t="shared" si="0"/>
        <v>0</v>
      </c>
      <c r="U31" s="293">
        <f t="shared" si="3"/>
        <v>0</v>
      </c>
    </row>
    <row r="32" spans="1:21" ht="13.5">
      <c r="A32" s="254" t="s">
        <v>328</v>
      </c>
      <c r="B32" s="264"/>
      <c r="C32" s="264">
        <f>C31+C30+C29+C28+C27+C26+C25+C24+C23+C20+C17</f>
        <v>776733.2</v>
      </c>
      <c r="D32" s="264">
        <f>D31+D30+D29+D28+D27+D26+D25+D24+D23+D20+D17</f>
        <v>817822.2</v>
      </c>
      <c r="E32" s="264">
        <f>E31+E30+E29+E28+E27+E26+E25+E24+E23+E20+E17</f>
        <v>613577.6</v>
      </c>
      <c r="F32" s="262">
        <f t="shared" si="1"/>
        <v>2208133</v>
      </c>
      <c r="G32" s="264">
        <f>G31+G30+G29+G28+G27+G26+G25+G24+G23+G20+G17</f>
        <v>930821.2</v>
      </c>
      <c r="H32" s="264">
        <f>H31+H30+H29+H28+H27+H26+H25+H24+H23+H20+H17</f>
        <v>901228.2</v>
      </c>
      <c r="I32" s="264">
        <f>I31+I30+I29+I28+I27+I26+I25+I24+I23+I20+I17</f>
        <v>438331.6</v>
      </c>
      <c r="J32" s="262">
        <f t="shared" si="2"/>
        <v>2270381</v>
      </c>
      <c r="K32" s="264">
        <f>K31+K30+K29+K28+K27+K26+K25+K24+K23+K20+K17</f>
        <v>952548.6</v>
      </c>
      <c r="L32" s="264">
        <f>L31+L30+L29+L28+L27+L26+L25+L24+L23+L20+L17</f>
        <v>360968.2</v>
      </c>
      <c r="M32" s="264">
        <f>M31+M30+M29+M28+M27+M26+M25+M24+M23+M20+M17</f>
        <v>421949.2</v>
      </c>
      <c r="N32" s="262">
        <f>SUM(K32:M32)</f>
        <v>1735466</v>
      </c>
      <c r="O32" s="264">
        <f>O31+O30+O29+O28+O27+O26+O25+O24+O23+O20+O17</f>
        <v>622094.95</v>
      </c>
      <c r="P32" s="264">
        <f>P31+P30+P29+P28+P27+P26+P25+P24+P23+P20+P17</f>
        <v>807578.95</v>
      </c>
      <c r="Q32" s="264">
        <f>Q31+Q30+Q29+Q28+Q27+Q26+Q25+Q24+Q23+Q20+Q17</f>
        <v>726916.1</v>
      </c>
      <c r="R32" s="262">
        <f>SUM(O32:Q32)</f>
        <v>2156590</v>
      </c>
      <c r="S32" s="288">
        <f t="shared" si="0"/>
        <v>8370570</v>
      </c>
      <c r="T32" s="268">
        <f>проверка!D15+проверка!D16+проверка!D17+проверка!D18+проверка!D19+проверка!D20+проверка!D21+проверка!D22+проверка!D23+проверка!D24+проверка!D25</f>
        <v>8370570</v>
      </c>
      <c r="U32" s="293">
        <f t="shared" si="3"/>
        <v>0</v>
      </c>
    </row>
    <row r="33" spans="1:21" ht="13.5">
      <c r="A33" s="279" t="s">
        <v>333</v>
      </c>
      <c r="B33" s="280"/>
      <c r="C33" s="280">
        <f>C7+C10+C18+C21+C14+C15+C4+C5+C13+C12</f>
        <v>2051145</v>
      </c>
      <c r="D33" s="280">
        <f>D7+D10+D18+D21+D14+D15+D4+D5+D13+D12</f>
        <v>2129465</v>
      </c>
      <c r="E33" s="280">
        <f>E7+E10+E18+E21+E14+E15+E4+E5+E13+E12</f>
        <v>2067019</v>
      </c>
      <c r="F33" s="287">
        <f t="shared" si="1"/>
        <v>6247629</v>
      </c>
      <c r="G33" s="280">
        <f>G7+G10+G18+G21+G14+G15+G4+G5+G13+G12</f>
        <v>2209023</v>
      </c>
      <c r="H33" s="280">
        <f>H7+H10+H18+H21+H14+H15+H4+H5+H13+H12</f>
        <v>3516366</v>
      </c>
      <c r="I33" s="280">
        <f>I7+I10+I18+I21+I14+I15+I4+I5+I13+I12</f>
        <v>2877477</v>
      </c>
      <c r="J33" s="287">
        <f t="shared" si="2"/>
        <v>8602866</v>
      </c>
      <c r="K33" s="280">
        <f>K7+K10+K18+K21+K14+K15+K4+K5+K13+K12</f>
        <v>607844</v>
      </c>
      <c r="L33" s="280">
        <f>L7+L10+L18+L21+L14+L15+L4+L5+L13+L12</f>
        <v>1215687</v>
      </c>
      <c r="M33" s="280">
        <f>M7+M10+M18+M21+M14+M15+M4+M5+M13+M12</f>
        <v>2067019</v>
      </c>
      <c r="N33" s="287">
        <f>SUM(K33:M33)</f>
        <v>3890550</v>
      </c>
      <c r="O33" s="280">
        <f>O7+O10+O18+O21+O14+O15+O4+O5+O13+O12</f>
        <v>2051145</v>
      </c>
      <c r="P33" s="280">
        <f>P7+P10+P18+P21+P14+P15+P4+P5+P13+P12</f>
        <v>2207955</v>
      </c>
      <c r="Q33" s="280">
        <f>Q7+Q10+Q18+Q21+Q14+Q15+Q4+Q5+Q13+Q12</f>
        <v>2051155</v>
      </c>
      <c r="R33" s="287">
        <f>SUM(O33:Q33)</f>
        <v>6310255</v>
      </c>
      <c r="S33" s="289">
        <f>R33+N33+J33+F33</f>
        <v>25051300</v>
      </c>
      <c r="T33" s="268">
        <f>свод!F13</f>
        <v>25051300</v>
      </c>
      <c r="U33" s="293">
        <f t="shared" si="3"/>
        <v>0</v>
      </c>
    </row>
    <row r="34" spans="1:21" ht="13.5">
      <c r="A34" s="263" t="s">
        <v>151</v>
      </c>
      <c r="B34" s="272"/>
      <c r="C34" s="272">
        <f>C7+C10+C14+C15+C13+C12</f>
        <v>2051145</v>
      </c>
      <c r="D34" s="272">
        <f aca="true" t="shared" si="8" ref="D34:Q34">D7+D10+D14+D15+D13+D12</f>
        <v>2129465</v>
      </c>
      <c r="E34" s="272">
        <f t="shared" si="8"/>
        <v>2067019</v>
      </c>
      <c r="F34" s="262">
        <f>SUM(C34:E34)</f>
        <v>6247629</v>
      </c>
      <c r="G34" s="272">
        <f t="shared" si="8"/>
        <v>2209023</v>
      </c>
      <c r="H34" s="272">
        <f t="shared" si="8"/>
        <v>3516366</v>
      </c>
      <c r="I34" s="272">
        <f t="shared" si="8"/>
        <v>2877477</v>
      </c>
      <c r="J34" s="262">
        <f t="shared" si="2"/>
        <v>8602866</v>
      </c>
      <c r="K34" s="272">
        <f t="shared" si="8"/>
        <v>607844</v>
      </c>
      <c r="L34" s="272">
        <f t="shared" si="8"/>
        <v>1215687</v>
      </c>
      <c r="M34" s="272">
        <f t="shared" si="8"/>
        <v>2067019</v>
      </c>
      <c r="N34" s="262">
        <f>SUM(K34:M34)</f>
        <v>3890550</v>
      </c>
      <c r="O34" s="272">
        <f t="shared" si="8"/>
        <v>2051145</v>
      </c>
      <c r="P34" s="272">
        <f t="shared" si="8"/>
        <v>2207955</v>
      </c>
      <c r="Q34" s="272">
        <f t="shared" si="8"/>
        <v>2051155</v>
      </c>
      <c r="R34" s="262">
        <f>SUM(O34:Q34)</f>
        <v>6310255</v>
      </c>
      <c r="S34" s="288">
        <f>R34+N34+J34+F34</f>
        <v>25051300</v>
      </c>
      <c r="T34" s="268">
        <f>свод!F27</f>
        <v>25051300</v>
      </c>
      <c r="U34" s="293">
        <f t="shared" si="3"/>
        <v>0</v>
      </c>
    </row>
    <row r="35" spans="1:21" ht="13.5">
      <c r="A35" s="263" t="s">
        <v>334</v>
      </c>
      <c r="C35" s="263">
        <f>C4+C5</f>
        <v>0</v>
      </c>
      <c r="D35" s="263">
        <f>D4+D5</f>
        <v>0</v>
      </c>
      <c r="E35" s="263">
        <f>E4+E5</f>
        <v>0</v>
      </c>
      <c r="F35" s="262">
        <f t="shared" si="1"/>
        <v>0</v>
      </c>
      <c r="G35" s="263">
        <f>G4+G5</f>
        <v>0</v>
      </c>
      <c r="H35" s="263">
        <f>H4+H5</f>
        <v>0</v>
      </c>
      <c r="I35" s="263">
        <f>I4+I5</f>
        <v>0</v>
      </c>
      <c r="J35" s="262">
        <f t="shared" si="2"/>
        <v>0</v>
      </c>
      <c r="K35" s="263">
        <f>K4+K5</f>
        <v>0</v>
      </c>
      <c r="L35" s="263">
        <f>L4+L5</f>
        <v>0</v>
      </c>
      <c r="M35" s="263">
        <f>M4+M5</f>
        <v>0</v>
      </c>
      <c r="N35" s="262">
        <f>SUM(K35:M35)</f>
        <v>0</v>
      </c>
      <c r="O35" s="263">
        <f>O4+O5</f>
        <v>0</v>
      </c>
      <c r="P35" s="263">
        <f>P4+P5</f>
        <v>0</v>
      </c>
      <c r="Q35" s="263">
        <f>Q4+Q5</f>
        <v>0</v>
      </c>
      <c r="R35" s="262">
        <f>SUM(O35:Q35)</f>
        <v>0</v>
      </c>
      <c r="S35" s="288">
        <f t="shared" si="0"/>
        <v>0</v>
      </c>
      <c r="T35" s="268">
        <f>свод!F22</f>
        <v>0</v>
      </c>
      <c r="U35" s="293">
        <f t="shared" si="3"/>
        <v>0</v>
      </c>
    </row>
    <row r="36" spans="1:21" s="273" customFormat="1" ht="13.5">
      <c r="A36" s="263" t="s">
        <v>152</v>
      </c>
      <c r="B36" s="271"/>
      <c r="C36" s="272">
        <f>C18+C21</f>
        <v>0</v>
      </c>
      <c r="D36" s="272">
        <f>D18+D21</f>
        <v>0</v>
      </c>
      <c r="E36" s="272">
        <f>E18+E21</f>
        <v>0</v>
      </c>
      <c r="F36" s="262">
        <f t="shared" si="1"/>
        <v>0</v>
      </c>
      <c r="G36" s="272">
        <f>G18+G21</f>
        <v>0</v>
      </c>
      <c r="H36" s="272">
        <f>H18+H21</f>
        <v>0</v>
      </c>
      <c r="I36" s="272">
        <f>I18+I21</f>
        <v>0</v>
      </c>
      <c r="J36" s="262">
        <f t="shared" si="2"/>
        <v>0</v>
      </c>
      <c r="K36" s="272">
        <f>K18+K21</f>
        <v>0</v>
      </c>
      <c r="L36" s="272">
        <f>L18+L21</f>
        <v>0</v>
      </c>
      <c r="M36" s="272">
        <f>M18+M21</f>
        <v>0</v>
      </c>
      <c r="N36" s="262">
        <f>SUM(K36:M36)</f>
        <v>0</v>
      </c>
      <c r="O36" s="272">
        <f>O18+O21</f>
        <v>0</v>
      </c>
      <c r="P36" s="272">
        <f>P18+P21</f>
        <v>0</v>
      </c>
      <c r="Q36" s="272">
        <f>Q18+Q21</f>
        <v>0</v>
      </c>
      <c r="R36" s="262">
        <f>SUM(O36:Q36)</f>
        <v>0</v>
      </c>
      <c r="S36" s="288">
        <f t="shared" si="0"/>
        <v>0</v>
      </c>
      <c r="T36" s="274">
        <f>свод!F18</f>
        <v>0</v>
      </c>
      <c r="U36" s="293">
        <f t="shared" si="3"/>
        <v>0</v>
      </c>
    </row>
    <row r="37" spans="1:21" s="273" customFormat="1" ht="6" customHeight="1">
      <c r="A37" s="263"/>
      <c r="B37" s="271"/>
      <c r="C37" s="271"/>
      <c r="D37" s="271"/>
      <c r="E37" s="271"/>
      <c r="F37" s="264"/>
      <c r="G37" s="271"/>
      <c r="H37" s="271"/>
      <c r="I37" s="271"/>
      <c r="J37" s="264"/>
      <c r="K37" s="271"/>
      <c r="L37" s="271"/>
      <c r="M37" s="271"/>
      <c r="N37" s="264"/>
      <c r="O37" s="271"/>
      <c r="P37" s="271"/>
      <c r="Q37" s="271"/>
      <c r="R37" s="264"/>
      <c r="S37" s="290"/>
      <c r="U37" s="293"/>
    </row>
    <row r="38" spans="1:21" ht="13.5">
      <c r="A38" s="279" t="s">
        <v>335</v>
      </c>
      <c r="B38" s="283"/>
      <c r="C38" s="283">
        <f>C8+C11+C19+C22+C23+C24+C25+C26+C27+C28+C30+C31</f>
        <v>1452345.2</v>
      </c>
      <c r="D38" s="283">
        <f>D8+D11+D19+D22+D23+D24+D25+D26+D27+D28+D30+D31</f>
        <v>1507387.2</v>
      </c>
      <c r="E38" s="283">
        <f>E8+E11+E19+E22+E23+E24+E25+E26+E27+E28+E30+E31</f>
        <v>1473367.6</v>
      </c>
      <c r="F38" s="287">
        <f t="shared" si="1"/>
        <v>4433100</v>
      </c>
      <c r="G38" s="283">
        <f>G8+G11+G19+G22+G23+G24+G25+G26+G27+G28+G30+G31</f>
        <v>1606433.2</v>
      </c>
      <c r="H38" s="283">
        <f>H8+H11+H19+H22+H23+H24+H25+H26+H27+H28+H30+H31</f>
        <v>2192646.2</v>
      </c>
      <c r="I38" s="283">
        <f>I8+I11+I19+I22+I23+I24+I25+I26+I27+I28+I30+I31</f>
        <v>1642037.6</v>
      </c>
      <c r="J38" s="287">
        <f>SUM(G38:I38)</f>
        <v>5441117</v>
      </c>
      <c r="K38" s="283">
        <f>K8+K11+K19+K22+K23+K24+K25+K26+K27+K28+K30+K31</f>
        <v>1026307.6</v>
      </c>
      <c r="L38" s="283">
        <f>L8+L11+L19+L22+L23+L24+L25+L26+L27+L28+L30+L31</f>
        <v>706617.2</v>
      </c>
      <c r="M38" s="283">
        <f>M8+M11+M19+M22+M23+M24+M25+M26+M27+M28+M30+M31</f>
        <v>1383090.2</v>
      </c>
      <c r="N38" s="287">
        <f>SUM(K38:M38)</f>
        <v>3116015</v>
      </c>
      <c r="O38" s="283">
        <f>O8+O11+O19+O22+O23+O24+O25+O26+O27+O28+O30+O31</f>
        <v>1409056.95</v>
      </c>
      <c r="P38" s="283">
        <f>P8+P11+P19+P22+P23+P24+P25+P26+P27+P28+P30+P31</f>
        <v>1608493.95</v>
      </c>
      <c r="Q38" s="283">
        <f>Q8+Q11+Q19+Q22+Q23+Q24+Q25+Q26+Q27+Q28+Q30+Q31</f>
        <v>1698046.1</v>
      </c>
      <c r="R38" s="287">
        <f>SUM(O38:Q38)</f>
        <v>4715597</v>
      </c>
      <c r="S38" s="289">
        <f t="shared" si="0"/>
        <v>17705829</v>
      </c>
      <c r="T38" s="268">
        <f>свод!F131</f>
        <v>17705829</v>
      </c>
      <c r="U38" s="293">
        <f t="shared" si="3"/>
        <v>0</v>
      </c>
    </row>
    <row r="39" spans="1:21" ht="13.5">
      <c r="A39" s="272" t="s">
        <v>151</v>
      </c>
      <c r="C39" s="263">
        <f>C8+C11</f>
        <v>859790</v>
      </c>
      <c r="D39" s="263">
        <f>D8+D11</f>
        <v>859790</v>
      </c>
      <c r="E39" s="263">
        <f>E8+E11</f>
        <v>859790</v>
      </c>
      <c r="F39" s="262">
        <f t="shared" si="1"/>
        <v>2579370</v>
      </c>
      <c r="G39" s="263">
        <f>G8+G11</f>
        <v>859790</v>
      </c>
      <c r="H39" s="263">
        <f>H8+H11</f>
        <v>1461643</v>
      </c>
      <c r="I39" s="263">
        <f>I8+I11</f>
        <v>1203706</v>
      </c>
      <c r="J39" s="262">
        <f>SUM(G39:I39)</f>
        <v>3525139</v>
      </c>
      <c r="K39" s="263">
        <f>K8+K11</f>
        <v>257937</v>
      </c>
      <c r="L39" s="263">
        <f>L8+L11</f>
        <v>515874</v>
      </c>
      <c r="M39" s="263">
        <f>M8+M11</f>
        <v>971141</v>
      </c>
      <c r="N39" s="262">
        <f>SUM(K39:M39)</f>
        <v>1744952</v>
      </c>
      <c r="O39" s="263">
        <f>O8+O11</f>
        <v>971140</v>
      </c>
      <c r="P39" s="263">
        <f>P8+P11</f>
        <v>971140</v>
      </c>
      <c r="Q39" s="263">
        <f>Q8+Q11</f>
        <v>971130</v>
      </c>
      <c r="R39" s="262">
        <f>SUM(O39:Q39)</f>
        <v>2913410</v>
      </c>
      <c r="S39" s="288">
        <f t="shared" si="0"/>
        <v>10762871</v>
      </c>
      <c r="T39" s="268">
        <f>свод!F39</f>
        <v>10762871</v>
      </c>
      <c r="U39" s="293">
        <f t="shared" si="3"/>
        <v>0</v>
      </c>
    </row>
    <row r="40" spans="1:21" ht="13.5">
      <c r="A40" s="263" t="s">
        <v>152</v>
      </c>
      <c r="C40" s="263">
        <f>C19+C22+C23+C24+C25+C26+C27+C28+C30+C31</f>
        <v>592555.2</v>
      </c>
      <c r="D40" s="263">
        <f>D19+D22+D23+D24+D25+D26+D27+D28+D30+D31</f>
        <v>647597.2</v>
      </c>
      <c r="E40" s="263">
        <f>E19+E22+E23+E24+E25+E26+E27+E28+E30+E31</f>
        <v>613577.6</v>
      </c>
      <c r="F40" s="262">
        <f t="shared" si="1"/>
        <v>1853730</v>
      </c>
      <c r="G40" s="263">
        <f>G19+G22+G23+G24+G25+G26+G27+G28+G30+G31</f>
        <v>746643.2</v>
      </c>
      <c r="H40" s="263">
        <f>H19+H22+H23+H24+H25+H26+H27+H28+H30+H31</f>
        <v>731003.2</v>
      </c>
      <c r="I40" s="263">
        <f>I19+I22+I23+I24+I25+I26+I27+I28+I30+I31</f>
        <v>438331.6</v>
      </c>
      <c r="J40" s="262">
        <f>SUM(G40:I40)</f>
        <v>1915978</v>
      </c>
      <c r="K40" s="263">
        <f>K19+K22+K23+K24+K25+K26+K27+K28+K30+K31</f>
        <v>768370.6</v>
      </c>
      <c r="L40" s="263">
        <f>L19+L22+L23+L24+L25+L26+L27+L28+L30+L31</f>
        <v>190743.2</v>
      </c>
      <c r="M40" s="263">
        <f>M19+M22+M23+M24+M25+M26+M27+M28+M30+M31</f>
        <v>411949.2</v>
      </c>
      <c r="N40" s="262">
        <f>SUM(K40:M40)</f>
        <v>1371063</v>
      </c>
      <c r="O40" s="263">
        <f>O19+O22+O23+O24+O25+O26+O27+O28+O30+O31</f>
        <v>437916.95</v>
      </c>
      <c r="P40" s="263">
        <f>P19+P22+P23+P24+P25+P26+P27+P28+P30+P31</f>
        <v>637353.95</v>
      </c>
      <c r="Q40" s="263">
        <f>Q19+Q22+Q23+Q24+Q25+Q26+Q27+Q28+Q30+Q31</f>
        <v>726916.1</v>
      </c>
      <c r="R40" s="262">
        <f>SUM(O40:Q40)</f>
        <v>1802187</v>
      </c>
      <c r="S40" s="288">
        <f t="shared" si="0"/>
        <v>6942958</v>
      </c>
      <c r="T40" s="268">
        <f>свод!F45+свод!F60+свод!F88+свод!F104+свод!F109+свод!F115+свод!F118+свод!F122+свод!F130</f>
        <v>6942958</v>
      </c>
      <c r="U40" s="293">
        <f t="shared" si="3"/>
        <v>0</v>
      </c>
    </row>
    <row r="41" spans="6:21" ht="5.25" customHeight="1">
      <c r="F41" s="264"/>
      <c r="J41" s="264"/>
      <c r="N41" s="264"/>
      <c r="R41" s="264"/>
      <c r="S41" s="290"/>
      <c r="U41" s="293"/>
    </row>
    <row r="42" spans="1:21" s="272" customFormat="1" ht="13.5">
      <c r="A42" s="279" t="s">
        <v>336</v>
      </c>
      <c r="B42" s="280"/>
      <c r="C42" s="280">
        <f>C29</f>
        <v>184178</v>
      </c>
      <c r="D42" s="280">
        <f>D29</f>
        <v>170225</v>
      </c>
      <c r="E42" s="280">
        <f>E29</f>
        <v>0</v>
      </c>
      <c r="F42" s="287">
        <f t="shared" si="1"/>
        <v>354403</v>
      </c>
      <c r="G42" s="280">
        <f>G29</f>
        <v>184178</v>
      </c>
      <c r="H42" s="280">
        <f>H29</f>
        <v>170225</v>
      </c>
      <c r="I42" s="280">
        <f>I29</f>
        <v>0</v>
      </c>
      <c r="J42" s="287">
        <f>SUM(G42:I42)</f>
        <v>354403</v>
      </c>
      <c r="K42" s="280">
        <f>K29</f>
        <v>184178</v>
      </c>
      <c r="L42" s="280">
        <f>L29</f>
        <v>170225</v>
      </c>
      <c r="M42" s="280">
        <f>M29</f>
        <v>10000</v>
      </c>
      <c r="N42" s="287">
        <f>SUM(K42:M42)</f>
        <v>364403</v>
      </c>
      <c r="O42" s="280">
        <f>O29</f>
        <v>184178</v>
      </c>
      <c r="P42" s="280">
        <f>P29</f>
        <v>170225</v>
      </c>
      <c r="Q42" s="280">
        <f>Q29</f>
        <v>0</v>
      </c>
      <c r="R42" s="287">
        <f>SUM(O42:Q42)</f>
        <v>354403</v>
      </c>
      <c r="S42" s="289">
        <f t="shared" si="0"/>
        <v>1427612</v>
      </c>
      <c r="T42" s="291">
        <f>свод!F141</f>
        <v>1427612</v>
      </c>
      <c r="U42" s="293">
        <f t="shared" si="3"/>
        <v>0</v>
      </c>
    </row>
    <row r="43" spans="1:21" s="255" customFormat="1" ht="13.5">
      <c r="A43" s="263" t="s">
        <v>152</v>
      </c>
      <c r="C43" s="255">
        <f>C29</f>
        <v>184178</v>
      </c>
      <c r="D43" s="255">
        <f>D29</f>
        <v>170225</v>
      </c>
      <c r="E43" s="255">
        <f>E29</f>
        <v>0</v>
      </c>
      <c r="F43" s="262">
        <f t="shared" si="1"/>
        <v>354403</v>
      </c>
      <c r="G43" s="255">
        <f>G29</f>
        <v>184178</v>
      </c>
      <c r="H43" s="255">
        <f>H29</f>
        <v>170225</v>
      </c>
      <c r="I43" s="255">
        <f>I29</f>
        <v>0</v>
      </c>
      <c r="J43" s="262">
        <f>SUM(G43:I43)</f>
        <v>354403</v>
      </c>
      <c r="K43" s="255">
        <f>K29</f>
        <v>184178</v>
      </c>
      <c r="L43" s="255">
        <f>L29</f>
        <v>170225</v>
      </c>
      <c r="M43" s="255">
        <f>M29</f>
        <v>10000</v>
      </c>
      <c r="N43" s="262">
        <f>SUM(K43:M43)</f>
        <v>364403</v>
      </c>
      <c r="O43" s="255">
        <f>O29</f>
        <v>184178</v>
      </c>
      <c r="P43" s="255">
        <f>P29</f>
        <v>170225</v>
      </c>
      <c r="Q43" s="255">
        <f>Q29</f>
        <v>0</v>
      </c>
      <c r="R43" s="262">
        <f>SUM(O43:Q43)</f>
        <v>354403</v>
      </c>
      <c r="S43" s="288">
        <f t="shared" si="0"/>
        <v>1427612</v>
      </c>
      <c r="T43" s="276">
        <f>свод!F141</f>
        <v>1427612</v>
      </c>
      <c r="U43" s="293">
        <f t="shared" si="3"/>
        <v>0</v>
      </c>
    </row>
    <row r="44" spans="1:21" s="281" customFormat="1" ht="13.5">
      <c r="A44" s="284" t="s">
        <v>153</v>
      </c>
      <c r="B44" s="285"/>
      <c r="C44" s="286">
        <f>C33+C38+C42</f>
        <v>3687668.2</v>
      </c>
      <c r="D44" s="286">
        <f>D33+D38+D42</f>
        <v>3807077.2</v>
      </c>
      <c r="E44" s="286">
        <f>E33+E38+E42</f>
        <v>3540386.6</v>
      </c>
      <c r="F44" s="287">
        <f t="shared" si="1"/>
        <v>11035132</v>
      </c>
      <c r="G44" s="286">
        <f>G33+G38+G42</f>
        <v>3999634.2</v>
      </c>
      <c r="H44" s="286">
        <f>H33+H38+H42</f>
        <v>5879237.2</v>
      </c>
      <c r="I44" s="286">
        <f>I33+I38+I42</f>
        <v>4519514.6</v>
      </c>
      <c r="J44" s="287">
        <f>SUM(G44:I44)</f>
        <v>14398386</v>
      </c>
      <c r="K44" s="286">
        <f>K33+K38+K42</f>
        <v>1818329.6</v>
      </c>
      <c r="L44" s="286">
        <f>L33+L38+L42</f>
        <v>2092529.2</v>
      </c>
      <c r="M44" s="286">
        <f>M33+M38+M42</f>
        <v>3460109.2</v>
      </c>
      <c r="N44" s="287">
        <f>SUM(K44:M44)</f>
        <v>7370968</v>
      </c>
      <c r="O44" s="286">
        <f>O33+O38+O42</f>
        <v>3644379.95</v>
      </c>
      <c r="P44" s="286">
        <f>P33+P38+P42</f>
        <v>3986673.95</v>
      </c>
      <c r="Q44" s="286">
        <f>Q33+Q38+Q42</f>
        <v>3749201.1</v>
      </c>
      <c r="R44" s="287">
        <f>SUM(O44:Q44)</f>
        <v>11380255</v>
      </c>
      <c r="S44" s="289">
        <f t="shared" si="0"/>
        <v>44184741</v>
      </c>
      <c r="T44" s="282">
        <f>свод!F142</f>
        <v>44184741</v>
      </c>
      <c r="U44" s="293">
        <f t="shared" si="3"/>
        <v>0</v>
      </c>
    </row>
    <row r="45" spans="1:19" s="255" customFormat="1" ht="12.75">
      <c r="A45" s="275"/>
      <c r="S45" s="276"/>
    </row>
    <row r="46" spans="1:19" s="255" customFormat="1" ht="12.75">
      <c r="A46" s="277"/>
      <c r="S46" s="276"/>
    </row>
    <row r="47" spans="1:19" s="255" customFormat="1" ht="12.75">
      <c r="A47" s="275" t="s">
        <v>154</v>
      </c>
      <c r="C47" s="255" t="s">
        <v>396</v>
      </c>
      <c r="S47" s="276"/>
    </row>
    <row r="48" s="255" customFormat="1" ht="12.75">
      <c r="S48" s="276"/>
    </row>
    <row r="49" spans="1:19" s="255" customFormat="1" ht="12.75">
      <c r="A49" s="255" t="s">
        <v>155</v>
      </c>
      <c r="C49" s="255" t="s">
        <v>398</v>
      </c>
      <c r="S49" s="276"/>
    </row>
    <row r="50" ht="12.75">
      <c r="A50" s="255"/>
    </row>
    <row r="51" ht="12.75">
      <c r="A51" s="255"/>
    </row>
  </sheetData>
  <sheetProtection/>
  <mergeCells count="4">
    <mergeCell ref="A1:S1"/>
    <mergeCell ref="B2:B3"/>
    <mergeCell ref="C2:R2"/>
    <mergeCell ref="A4:A5"/>
  </mergeCells>
  <printOptions/>
  <pageMargins left="0" right="0" top="0" bottom="0.35433070866141736" header="0.31496062992125984" footer="0.3937007874015748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57">
      <selection activeCell="R16" sqref="R16"/>
    </sheetView>
  </sheetViews>
  <sheetFormatPr defaultColWidth="9.140625" defaultRowHeight="15"/>
  <cols>
    <col min="1" max="1" width="15.00390625" style="75" customWidth="1"/>
    <col min="2" max="2" width="14.140625" style="75" customWidth="1"/>
    <col min="3" max="3" width="15.421875" style="75" customWidth="1"/>
    <col min="4" max="4" width="11.7109375" style="75" customWidth="1"/>
    <col min="5" max="5" width="12.140625" style="75" customWidth="1"/>
    <col min="6" max="6" width="12.28125" style="75" customWidth="1"/>
    <col min="7" max="7" width="12.8515625" style="75" customWidth="1"/>
    <col min="8" max="8" width="9.140625" style="75" customWidth="1"/>
    <col min="9" max="9" width="11.7109375" style="75" customWidth="1"/>
    <col min="10" max="10" width="7.140625" style="75" customWidth="1"/>
    <col min="11" max="11" width="9.140625" style="76" customWidth="1"/>
    <col min="12" max="12" width="11.8515625" style="76" customWidth="1"/>
    <col min="13" max="13" width="9.140625" style="76" customWidth="1"/>
    <col min="14" max="14" width="11.8515625" style="76" customWidth="1"/>
    <col min="15" max="16" width="9.7109375" style="76" customWidth="1"/>
    <col min="17" max="16384" width="9.140625" style="76" customWidth="1"/>
  </cols>
  <sheetData>
    <row r="1" spans="6:7" ht="12.75">
      <c r="F1" s="570" t="s">
        <v>162</v>
      </c>
      <c r="G1" s="570"/>
    </row>
    <row r="2" spans="1:10" s="73" customFormat="1" ht="35.25" customHeight="1">
      <c r="A2" s="581" t="s">
        <v>163</v>
      </c>
      <c r="B2" s="581"/>
      <c r="C2" s="581"/>
      <c r="D2" s="581"/>
      <c r="E2" s="581"/>
      <c r="F2" s="581"/>
      <c r="G2" s="581"/>
      <c r="H2" s="72"/>
      <c r="I2" s="72"/>
      <c r="J2" s="72"/>
    </row>
    <row r="3" spans="1:7" ht="11.25" customHeight="1">
      <c r="A3" s="74"/>
      <c r="B3" s="74"/>
      <c r="C3" s="74"/>
      <c r="D3" s="74"/>
      <c r="E3" s="74"/>
      <c r="F3" s="582"/>
      <c r="G3" s="582"/>
    </row>
    <row r="4" spans="1:7" ht="48" customHeight="1">
      <c r="A4" s="571" t="s">
        <v>307</v>
      </c>
      <c r="B4" s="571"/>
      <c r="C4" s="571"/>
      <c r="D4" s="571"/>
      <c r="E4" s="571"/>
      <c r="F4" s="571"/>
      <c r="G4" s="571"/>
    </row>
    <row r="5" spans="1:7" ht="38.25">
      <c r="A5" s="77" t="s">
        <v>314</v>
      </c>
      <c r="B5" s="77" t="s">
        <v>164</v>
      </c>
      <c r="C5" s="77" t="s">
        <v>165</v>
      </c>
      <c r="D5" s="77" t="s">
        <v>166</v>
      </c>
      <c r="E5" s="77" t="s">
        <v>167</v>
      </c>
      <c r="F5" s="77" t="s">
        <v>168</v>
      </c>
      <c r="G5" s="77" t="s">
        <v>169</v>
      </c>
    </row>
    <row r="6" spans="1:11" ht="12.75">
      <c r="A6" s="77">
        <f>M10</f>
        <v>0</v>
      </c>
      <c r="B6" s="77">
        <f>P10</f>
        <v>0</v>
      </c>
      <c r="C6" s="77">
        <f>Q10</f>
        <v>0</v>
      </c>
      <c r="D6" s="77"/>
      <c r="E6" s="77"/>
      <c r="F6" s="77">
        <f>ROUND((A6*B6*C6)*D6*E6,2)</f>
        <v>0</v>
      </c>
      <c r="G6" s="77">
        <f>ROUND(F6*30.2%,0)</f>
        <v>0</v>
      </c>
      <c r="K6" s="76" t="s">
        <v>319</v>
      </c>
    </row>
    <row r="7" spans="1:10" ht="25.5">
      <c r="A7" s="77">
        <f>M14</f>
        <v>0</v>
      </c>
      <c r="B7" s="77">
        <f>P14</f>
        <v>0</v>
      </c>
      <c r="C7" s="77">
        <f>Q14</f>
        <v>0</v>
      </c>
      <c r="D7" s="77"/>
      <c r="E7" s="77"/>
      <c r="F7" s="77">
        <f>ROUND((A7*B7*C7)*D7*E7,2)</f>
        <v>0</v>
      </c>
      <c r="G7" s="77">
        <f>ROUND(F7*30.2%,0)</f>
        <v>0</v>
      </c>
      <c r="J7" s="75" t="s">
        <v>325</v>
      </c>
    </row>
    <row r="8" spans="1:17" ht="12.75">
      <c r="A8" s="77"/>
      <c r="B8" s="77"/>
      <c r="C8" s="77"/>
      <c r="D8" s="77"/>
      <c r="E8" s="77"/>
      <c r="F8" s="77">
        <f>ROUND((A8*B8*C8)*D8*E8,2)</f>
        <v>0</v>
      </c>
      <c r="G8" s="77">
        <f>ROUND(F8*30.2%,2)</f>
        <v>0</v>
      </c>
      <c r="J8" s="244"/>
      <c r="K8" s="65"/>
      <c r="L8" s="244" t="s">
        <v>320</v>
      </c>
      <c r="M8" s="244" t="s">
        <v>321</v>
      </c>
      <c r="N8" s="244" t="s">
        <v>322</v>
      </c>
      <c r="O8" s="244" t="s">
        <v>323</v>
      </c>
      <c r="P8" s="244"/>
      <c r="Q8" s="244"/>
    </row>
    <row r="9" spans="1:17" ht="12.75">
      <c r="A9" s="77" t="s">
        <v>170</v>
      </c>
      <c r="B9" s="77"/>
      <c r="C9" s="77"/>
      <c r="D9" s="77"/>
      <c r="E9" s="77"/>
      <c r="F9" s="247">
        <f>F8+F7+F6</f>
        <v>0</v>
      </c>
      <c r="G9" s="247">
        <f>G8+G7+G6</f>
        <v>0</v>
      </c>
      <c r="J9" s="244">
        <v>1</v>
      </c>
      <c r="K9" s="65" t="s">
        <v>248</v>
      </c>
      <c r="L9" s="245">
        <v>247266</v>
      </c>
      <c r="M9" s="245">
        <v>20.09</v>
      </c>
      <c r="N9" s="244">
        <f>L9-O9</f>
        <v>221587.94</v>
      </c>
      <c r="O9" s="245">
        <v>25678.059999999998</v>
      </c>
      <c r="P9" s="244"/>
      <c r="Q9" s="244"/>
    </row>
    <row r="10" spans="10:17" ht="12.75">
      <c r="J10" s="244"/>
      <c r="K10" s="244" t="s">
        <v>324</v>
      </c>
      <c r="L10" s="244">
        <v>0</v>
      </c>
      <c r="M10" s="245">
        <v>0</v>
      </c>
      <c r="N10" s="245">
        <v>0</v>
      </c>
      <c r="O10" s="245">
        <v>0</v>
      </c>
      <c r="P10" s="244">
        <f>IF(M10=0,0,ROUND(N10/M10,2))</f>
        <v>0</v>
      </c>
      <c r="Q10" s="244">
        <f>IF(N10=0,0,O10/N10+1)</f>
        <v>0</v>
      </c>
    </row>
    <row r="11" spans="1:17" ht="28.5" customHeight="1" thickBot="1">
      <c r="A11" s="572" t="s">
        <v>310</v>
      </c>
      <c r="B11" s="572"/>
      <c r="C11" s="572"/>
      <c r="D11" s="572"/>
      <c r="E11" s="572"/>
      <c r="F11" s="572"/>
      <c r="G11" s="572"/>
      <c r="J11" s="244"/>
      <c r="K11" s="244" t="s">
        <v>286</v>
      </c>
      <c r="L11" s="244">
        <f>L9-L10</f>
        <v>247266</v>
      </c>
      <c r="M11" s="244">
        <f>M9-M10</f>
        <v>20.09</v>
      </c>
      <c r="N11" s="244">
        <f>N9-N10</f>
        <v>221587.94</v>
      </c>
      <c r="O11" s="244">
        <f>O9-O10</f>
        <v>25678.059999999998</v>
      </c>
      <c r="P11" s="244">
        <f>ROUND(N11/M11,2)</f>
        <v>11029.76</v>
      </c>
      <c r="Q11" s="244">
        <f>O11/N11+1</f>
        <v>1.1158820285977658</v>
      </c>
    </row>
    <row r="12" spans="1:17" ht="25.5">
      <c r="A12" s="78" t="s">
        <v>311</v>
      </c>
      <c r="B12" s="79" t="s">
        <v>171</v>
      </c>
      <c r="C12" s="79" t="s">
        <v>315</v>
      </c>
      <c r="D12" s="573" t="s">
        <v>313</v>
      </c>
      <c r="E12" s="574"/>
      <c r="J12" s="65"/>
      <c r="K12" s="244"/>
      <c r="L12" s="244"/>
      <c r="M12" s="244"/>
      <c r="N12" s="244"/>
      <c r="O12" s="244"/>
      <c r="P12" s="244"/>
      <c r="Q12" s="244"/>
    </row>
    <row r="13" spans="1:17" ht="12.75">
      <c r="A13" s="80"/>
      <c r="B13" s="77"/>
      <c r="C13" s="77"/>
      <c r="D13" s="575"/>
      <c r="E13" s="576"/>
      <c r="J13" s="65">
        <v>2</v>
      </c>
      <c r="K13" s="65" t="s">
        <v>248</v>
      </c>
      <c r="L13" s="245">
        <v>163758.75</v>
      </c>
      <c r="M13" s="245">
        <f>20.09-11.25-1</f>
        <v>7.84</v>
      </c>
      <c r="N13" s="244">
        <f>L13-O13</f>
        <v>138080.69</v>
      </c>
      <c r="O13" s="245">
        <v>25678.059999999998</v>
      </c>
      <c r="P13" s="244">
        <f>ROUND(N13/M13,2)</f>
        <v>17612.33</v>
      </c>
      <c r="Q13" s="244">
        <f>O13/N13+1</f>
        <v>1.1859641634177813</v>
      </c>
    </row>
    <row r="14" spans="1:17" ht="13.5" thickBot="1">
      <c r="A14" s="82"/>
      <c r="B14" s="83"/>
      <c r="C14" s="83"/>
      <c r="D14" s="577"/>
      <c r="E14" s="578"/>
      <c r="J14" s="246"/>
      <c r="K14" s="244" t="s">
        <v>324</v>
      </c>
      <c r="L14" s="244">
        <f>O14+N14</f>
        <v>0</v>
      </c>
      <c r="M14" s="245">
        <v>0</v>
      </c>
      <c r="N14" s="245">
        <v>0</v>
      </c>
      <c r="O14" s="245">
        <v>0</v>
      </c>
      <c r="P14" s="244">
        <f>IF(M14=0,0,ROUND(N14/M14,2))</f>
        <v>0</v>
      </c>
      <c r="Q14" s="244">
        <f>IF(N14=0,0,O14/N14+1)</f>
        <v>0</v>
      </c>
    </row>
    <row r="15" spans="10:17" ht="12.75">
      <c r="J15" s="65"/>
      <c r="K15" s="244" t="s">
        <v>286</v>
      </c>
      <c r="L15" s="244">
        <f>L13-L14</f>
        <v>163758.75</v>
      </c>
      <c r="M15" s="244">
        <f>M13-M14</f>
        <v>7.84</v>
      </c>
      <c r="N15" s="244">
        <f>N13-N14</f>
        <v>138080.69</v>
      </c>
      <c r="O15" s="244">
        <f>O13-O14</f>
        <v>25678.059999999998</v>
      </c>
      <c r="P15" s="244">
        <f>ROUND(N15/M15,2)</f>
        <v>17612.33</v>
      </c>
      <c r="Q15" s="244">
        <f>O15/N15+1</f>
        <v>1.1859641634177813</v>
      </c>
    </row>
    <row r="16" spans="1:7" ht="49.5" customHeight="1" thickBot="1">
      <c r="A16" s="571" t="s">
        <v>308</v>
      </c>
      <c r="B16" s="571"/>
      <c r="C16" s="571"/>
      <c r="D16" s="571"/>
      <c r="E16" s="571"/>
      <c r="F16" s="571"/>
      <c r="G16" s="571"/>
    </row>
    <row r="17" spans="1:10" ht="38.25">
      <c r="A17" s="88" t="s">
        <v>172</v>
      </c>
      <c r="B17" s="79" t="s">
        <v>173</v>
      </c>
      <c r="C17" s="79" t="s">
        <v>315</v>
      </c>
      <c r="D17" s="79" t="s">
        <v>168</v>
      </c>
      <c r="E17" s="89" t="s">
        <v>169</v>
      </c>
      <c r="J17" s="75" t="s">
        <v>151</v>
      </c>
    </row>
    <row r="18" spans="1:17" ht="12.75">
      <c r="A18" s="80"/>
      <c r="B18" s="77"/>
      <c r="C18" s="77"/>
      <c r="D18" s="91">
        <f>ROUND(A18*B18*C18,2)</f>
        <v>0</v>
      </c>
      <c r="E18" s="91">
        <f>ROUND(D18*30.2%,0)</f>
        <v>0</v>
      </c>
      <c r="J18" s="244"/>
      <c r="K18" s="65"/>
      <c r="L18" s="244" t="s">
        <v>320</v>
      </c>
      <c r="M18" s="244" t="s">
        <v>321</v>
      </c>
      <c r="N18" s="244" t="s">
        <v>322</v>
      </c>
      <c r="O18" s="244" t="s">
        <v>323</v>
      </c>
      <c r="P18" s="244" t="s">
        <v>326</v>
      </c>
      <c r="Q18" s="244"/>
    </row>
    <row r="19" spans="1:18" ht="12.75">
      <c r="A19" s="80"/>
      <c r="B19" s="77"/>
      <c r="C19" s="77"/>
      <c r="D19" s="91">
        <f>ROUND(A19*B19*C19,2)</f>
        <v>0</v>
      </c>
      <c r="E19" s="91">
        <f>ROUND(D19*30.2%,0)</f>
        <v>0</v>
      </c>
      <c r="J19" s="244">
        <v>1</v>
      </c>
      <c r="K19" s="65" t="s">
        <v>248</v>
      </c>
      <c r="L19" s="245">
        <v>2216540</v>
      </c>
      <c r="M19" s="245">
        <v>145.63799999999998</v>
      </c>
      <c r="N19" s="244">
        <f>L19-O19</f>
        <v>1439779.8399999999</v>
      </c>
      <c r="O19" s="245">
        <v>776760.16</v>
      </c>
      <c r="P19" s="245"/>
      <c r="Q19" s="244"/>
      <c r="R19" s="244"/>
    </row>
    <row r="20" spans="1:18" ht="12.75">
      <c r="A20" s="80"/>
      <c r="B20" s="77"/>
      <c r="C20" s="77"/>
      <c r="D20" s="91"/>
      <c r="E20" s="91">
        <f>ROUND(D20*30.2%,0)</f>
        <v>0</v>
      </c>
      <c r="J20" s="244"/>
      <c r="K20" s="244" t="s">
        <v>324</v>
      </c>
      <c r="L20" s="244">
        <f>O20+N20</f>
        <v>1556179.0000000002</v>
      </c>
      <c r="M20" s="245">
        <v>100.37799999999999</v>
      </c>
      <c r="N20" s="245">
        <v>1023704.6700000002</v>
      </c>
      <c r="O20" s="245">
        <f>532474.42-0.09</f>
        <v>532474.3300000001</v>
      </c>
      <c r="P20" s="245"/>
      <c r="Q20" s="244">
        <f>ROUND((N20+P20)/M20,2)</f>
        <v>10198.5</v>
      </c>
      <c r="R20" s="244">
        <f>(O20-P20)/(N20+P20)+1</f>
        <v>1.5201444768245513</v>
      </c>
    </row>
    <row r="21" spans="1:18" ht="12.75">
      <c r="A21" s="80"/>
      <c r="B21" s="77"/>
      <c r="C21" s="77"/>
      <c r="D21" s="91">
        <f>ROUND(A21*B21*C21,2)</f>
        <v>0</v>
      </c>
      <c r="E21" s="91">
        <f>ROUND(D21*30.2%,0)</f>
        <v>0</v>
      </c>
      <c r="J21" s="244"/>
      <c r="K21" s="244" t="s">
        <v>286</v>
      </c>
      <c r="L21" s="244">
        <f>L19-L20</f>
        <v>660360.9999999998</v>
      </c>
      <c r="M21" s="244">
        <f>M19-M20</f>
        <v>45.25999999999999</v>
      </c>
      <c r="N21" s="244">
        <f>N19-N20</f>
        <v>416075.1699999997</v>
      </c>
      <c r="O21" s="244">
        <f>O19-O20</f>
        <v>244285.82999999996</v>
      </c>
      <c r="P21" s="244">
        <f>P19-P20</f>
        <v>0</v>
      </c>
      <c r="Q21" s="244">
        <f>ROUND((N21+P21)/M21,2)</f>
        <v>9193</v>
      </c>
      <c r="R21" s="244">
        <f>(O21-P21)/(N21+P21)+1</f>
        <v>1.5871194620914295</v>
      </c>
    </row>
    <row r="22" spans="1:18" ht="13.5" thickBot="1">
      <c r="A22" s="82" t="s">
        <v>170</v>
      </c>
      <c r="B22" s="83"/>
      <c r="C22" s="83"/>
      <c r="D22" s="92">
        <f>D21+D19+D18+D20</f>
        <v>0</v>
      </c>
      <c r="E22" s="92">
        <f>E21+E19+E18+E20</f>
        <v>0</v>
      </c>
      <c r="J22" s="65"/>
      <c r="K22" s="244"/>
      <c r="L22" s="244"/>
      <c r="M22" s="244"/>
      <c r="N22" s="244"/>
      <c r="O22" s="244"/>
      <c r="P22" s="244"/>
      <c r="Q22" s="244"/>
      <c r="R22" s="244"/>
    </row>
    <row r="23" spans="1:18" ht="12.75">
      <c r="A23" s="76"/>
      <c r="J23" s="65">
        <v>2</v>
      </c>
      <c r="K23" s="65" t="s">
        <v>248</v>
      </c>
      <c r="L23" s="245">
        <v>2302063</v>
      </c>
      <c r="M23" s="245">
        <v>144.482</v>
      </c>
      <c r="N23" s="244">
        <f>L23-O23</f>
        <v>1525302.8399999999</v>
      </c>
      <c r="O23" s="245">
        <v>776760.16</v>
      </c>
      <c r="P23" s="245"/>
      <c r="Q23" s="244"/>
      <c r="R23" s="244"/>
    </row>
    <row r="24" spans="1:18" ht="45" customHeight="1" thickBot="1">
      <c r="A24" s="571" t="s">
        <v>309</v>
      </c>
      <c r="B24" s="571"/>
      <c r="C24" s="571"/>
      <c r="D24" s="571"/>
      <c r="E24" s="571"/>
      <c r="F24" s="571"/>
      <c r="G24" s="571"/>
      <c r="J24" s="246"/>
      <c r="K24" s="244" t="s">
        <v>324</v>
      </c>
      <c r="L24" s="244">
        <f>O24+N24</f>
        <v>1556179.0000000002</v>
      </c>
      <c r="M24" s="245">
        <v>99.222</v>
      </c>
      <c r="N24" s="245">
        <v>1023704.6700000002</v>
      </c>
      <c r="O24" s="245">
        <f>532474.42-0.09</f>
        <v>532474.3300000001</v>
      </c>
      <c r="P24" s="245"/>
      <c r="Q24" s="244">
        <f>ROUND((N24+P24)/M24,2)</f>
        <v>10317.32</v>
      </c>
      <c r="R24" s="244">
        <f>(O24-P24)/(N24+P24)+1</f>
        <v>1.5201444768245513</v>
      </c>
    </row>
    <row r="25" spans="1:18" ht="38.25">
      <c r="A25" s="77" t="s">
        <v>314</v>
      </c>
      <c r="B25" s="79" t="s">
        <v>164</v>
      </c>
      <c r="C25" s="79" t="s">
        <v>165</v>
      </c>
      <c r="D25" s="79" t="s">
        <v>315</v>
      </c>
      <c r="E25" s="79" t="s">
        <v>167</v>
      </c>
      <c r="F25" s="79" t="s">
        <v>168</v>
      </c>
      <c r="G25" s="89" t="s">
        <v>169</v>
      </c>
      <c r="H25" s="90"/>
      <c r="J25" s="65"/>
      <c r="K25" s="244" t="s">
        <v>286</v>
      </c>
      <c r="L25" s="244">
        <f>L23-L24</f>
        <v>745883.9999999998</v>
      </c>
      <c r="M25" s="244">
        <f>M23-M24</f>
        <v>45.260000000000005</v>
      </c>
      <c r="N25" s="244">
        <f>N23-N24</f>
        <v>501598.1699999997</v>
      </c>
      <c r="O25" s="244">
        <f>O23-O24</f>
        <v>244285.82999999996</v>
      </c>
      <c r="P25" s="244">
        <f>P23-P24</f>
        <v>0</v>
      </c>
      <c r="Q25" s="244">
        <f>ROUND((N25+P25)/M25,2)</f>
        <v>11082.59</v>
      </c>
      <c r="R25" s="244">
        <f>(O25-P25)/(N25+P25)+1</f>
        <v>1.4870149944925042</v>
      </c>
    </row>
    <row r="26" spans="1:18" ht="12.75">
      <c r="A26" s="80">
        <f>M20</f>
        <v>100.37799999999999</v>
      </c>
      <c r="B26" s="397">
        <f>Q20</f>
        <v>10198.5</v>
      </c>
      <c r="C26" s="77">
        <f>R20</f>
        <v>1.5201444768245513</v>
      </c>
      <c r="D26" s="77">
        <v>8</v>
      </c>
      <c r="E26" s="77">
        <v>1</v>
      </c>
      <c r="F26" s="91">
        <f>ROUND((A26*B26*C26)*D26*E26,0)</f>
        <v>12449436</v>
      </c>
      <c r="G26" s="94">
        <f>ROUND(F26*30.2%,0)</f>
        <v>3759730</v>
      </c>
      <c r="H26" s="90"/>
      <c r="I26" s="75">
        <f>F26/D26</f>
        <v>1556179.5</v>
      </c>
      <c r="J26" s="65"/>
      <c r="K26" s="65"/>
      <c r="L26" s="65"/>
      <c r="M26" s="244"/>
      <c r="N26" s="244"/>
      <c r="O26" s="244"/>
      <c r="P26" s="244"/>
      <c r="Q26" s="244"/>
      <c r="R26" s="244"/>
    </row>
    <row r="27" spans="1:18" ht="12.75">
      <c r="A27" s="80">
        <f>M24</f>
        <v>99.222</v>
      </c>
      <c r="B27" s="77">
        <f>Q24</f>
        <v>10317.32</v>
      </c>
      <c r="C27" s="77">
        <f>R24</f>
        <v>1.5201444768245513</v>
      </c>
      <c r="D27" s="77">
        <v>4</v>
      </c>
      <c r="E27" s="77">
        <v>1</v>
      </c>
      <c r="F27" s="91">
        <f>ROUND((A27*B27*C27)*D27*E27,0)</f>
        <v>6224719</v>
      </c>
      <c r="G27" s="94">
        <f>ROUND(F27*30.2%,0)</f>
        <v>1879865</v>
      </c>
      <c r="H27" s="90"/>
      <c r="I27" s="75">
        <f>F27/D27</f>
        <v>1556179.75</v>
      </c>
      <c r="J27" s="65"/>
      <c r="K27" s="65"/>
      <c r="L27" s="65"/>
      <c r="M27" s="244"/>
      <c r="N27" s="244"/>
      <c r="O27" s="244"/>
      <c r="P27" s="244"/>
      <c r="Q27" s="244"/>
      <c r="R27" s="244"/>
    </row>
    <row r="28" spans="1:18" ht="12.75">
      <c r="A28" s="80"/>
      <c r="B28" s="77"/>
      <c r="C28" s="77"/>
      <c r="D28" s="77"/>
      <c r="E28" s="77"/>
      <c r="F28" s="91"/>
      <c r="G28" s="94">
        <f>ROUND(F28*30.2%,0)</f>
        <v>0</v>
      </c>
      <c r="H28" s="90"/>
      <c r="J28" s="65">
        <v>3</v>
      </c>
      <c r="K28" s="65" t="s">
        <v>248</v>
      </c>
      <c r="L28" s="245"/>
      <c r="M28" s="245"/>
      <c r="N28" s="244">
        <f>L28-O28</f>
        <v>0</v>
      </c>
      <c r="O28" s="245"/>
      <c r="P28" s="245"/>
      <c r="Q28" s="244"/>
      <c r="R28" s="244"/>
    </row>
    <row r="29" spans="1:18" ht="12.75">
      <c r="A29" s="80"/>
      <c r="B29" s="77"/>
      <c r="C29" s="77"/>
      <c r="D29" s="77"/>
      <c r="E29" s="77"/>
      <c r="F29" s="91">
        <f>ROUND((A29*B29*C29)*D29*E29,2)</f>
        <v>0</v>
      </c>
      <c r="G29" s="94">
        <f>ROUND(F29*30.2%,0)</f>
        <v>0</v>
      </c>
      <c r="H29" s="90"/>
      <c r="J29" s="65"/>
      <c r="K29" s="244" t="s">
        <v>324</v>
      </c>
      <c r="L29" s="244">
        <f>O29+N29</f>
        <v>0</v>
      </c>
      <c r="M29" s="245"/>
      <c r="N29" s="245"/>
      <c r="O29" s="245"/>
      <c r="P29" s="245"/>
      <c r="Q29" s="244" t="e">
        <f>ROUND((N29+P29)/M29,2)</f>
        <v>#DIV/0!</v>
      </c>
      <c r="R29" s="244" t="e">
        <f>(O29-P29)/(N29+P29)+1</f>
        <v>#DIV/0!</v>
      </c>
    </row>
    <row r="30" spans="1:18" ht="12.75">
      <c r="A30" s="80"/>
      <c r="B30" s="77"/>
      <c r="C30" s="77"/>
      <c r="D30" s="77"/>
      <c r="E30" s="77"/>
      <c r="F30" s="91"/>
      <c r="G30" s="94"/>
      <c r="H30" s="90"/>
      <c r="I30" s="90"/>
      <c r="J30" s="65"/>
      <c r="K30" s="244" t="s">
        <v>286</v>
      </c>
      <c r="L30" s="244">
        <f>L28-L29</f>
        <v>0</v>
      </c>
      <c r="M30" s="244">
        <f>M28-M29</f>
        <v>0</v>
      </c>
      <c r="N30" s="244">
        <f>N28-N29</f>
        <v>0</v>
      </c>
      <c r="O30" s="244">
        <f>O28-O29</f>
        <v>0</v>
      </c>
      <c r="P30" s="244">
        <f>P28-P29</f>
        <v>0</v>
      </c>
      <c r="Q30" s="244" t="e">
        <f>ROUND((N30+P30)/M30,2)</f>
        <v>#DIV/0!</v>
      </c>
      <c r="R30" s="244" t="e">
        <f>(O30-P30)/(N30+P30)+1</f>
        <v>#DIV/0!</v>
      </c>
    </row>
    <row r="31" spans="1:10" ht="13.5" thickBot="1">
      <c r="A31" s="82" t="s">
        <v>170</v>
      </c>
      <c r="B31" s="83"/>
      <c r="C31" s="83"/>
      <c r="D31" s="83"/>
      <c r="E31" s="83"/>
      <c r="F31" s="92">
        <f>SUM(F26:F30)</f>
        <v>18674155</v>
      </c>
      <c r="G31" s="92">
        <f>SUM(G26:G30)</f>
        <v>5639595</v>
      </c>
      <c r="H31" s="90"/>
      <c r="J31" s="76"/>
    </row>
    <row r="32" ht="12.75">
      <c r="H32" s="90"/>
    </row>
    <row r="33" spans="1:7" ht="44.25" customHeight="1" thickBot="1">
      <c r="A33" s="572" t="s">
        <v>405</v>
      </c>
      <c r="B33" s="572"/>
      <c r="C33" s="572"/>
      <c r="D33" s="572"/>
      <c r="E33" s="572"/>
      <c r="F33" s="572"/>
      <c r="G33" s="572"/>
    </row>
    <row r="34" spans="1:7" ht="12.75">
      <c r="A34" s="96" t="s">
        <v>132</v>
      </c>
      <c r="B34" s="97" t="s">
        <v>312</v>
      </c>
      <c r="C34" s="79" t="s">
        <v>316</v>
      </c>
      <c r="D34" s="579" t="s">
        <v>313</v>
      </c>
      <c r="E34" s="580"/>
      <c r="G34" s="90"/>
    </row>
    <row r="35" spans="1:5" ht="12.75">
      <c r="A35" s="98">
        <v>221</v>
      </c>
      <c r="B35" s="77">
        <f>ROUND(D35/C35,2)</f>
        <v>193.5</v>
      </c>
      <c r="C35" s="77">
        <f>свод!D6+2</f>
        <v>1292</v>
      </c>
      <c r="D35" s="568">
        <f>проверка!C11</f>
        <v>250000</v>
      </c>
      <c r="E35" s="569"/>
    </row>
    <row r="36" spans="1:5" ht="12.75">
      <c r="A36" s="409" t="s">
        <v>443</v>
      </c>
      <c r="B36" s="77">
        <f>ROUND(D36/C36,2)</f>
        <v>37.35</v>
      </c>
      <c r="C36" s="77">
        <f>'мун.задание'!D67</f>
        <v>1275</v>
      </c>
      <c r="D36" s="568">
        <v>47622</v>
      </c>
      <c r="E36" s="569"/>
    </row>
    <row r="37" spans="1:5" ht="12.75">
      <c r="A37" s="98">
        <v>226</v>
      </c>
      <c r="B37" s="77">
        <f>ROUND(D37/C37,2)</f>
        <v>96.93</v>
      </c>
      <c r="C37" s="77">
        <f>свод!D6+2</f>
        <v>1292</v>
      </c>
      <c r="D37" s="568">
        <v>125240</v>
      </c>
      <c r="E37" s="569"/>
    </row>
    <row r="38" spans="1:5" ht="12.75">
      <c r="A38" s="98">
        <v>310</v>
      </c>
      <c r="B38" s="77">
        <f>ROUND(D38/C38,1)</f>
        <v>209</v>
      </c>
      <c r="C38" s="77">
        <f>свод!D6+2</f>
        <v>1292</v>
      </c>
      <c r="D38" s="568">
        <f>проверка!C13</f>
        <v>270000</v>
      </c>
      <c r="E38" s="569"/>
    </row>
    <row r="39" spans="1:5" ht="15.75" customHeight="1" thickBot="1">
      <c r="A39" s="99">
        <v>340</v>
      </c>
      <c r="B39" s="83">
        <f>ROUND(D39/C39,1)</f>
        <v>34.6</v>
      </c>
      <c r="C39" s="83">
        <f>свод!D6+2</f>
        <v>1292</v>
      </c>
      <c r="D39" s="583">
        <f>проверка!C14</f>
        <v>44688</v>
      </c>
      <c r="E39" s="584"/>
    </row>
    <row r="40" ht="12.75"/>
    <row r="41" spans="1:4" ht="12.75">
      <c r="A41" s="240" t="s">
        <v>399</v>
      </c>
      <c r="B41" s="240"/>
      <c r="C41" s="240"/>
      <c r="D41" s="240" t="s">
        <v>396</v>
      </c>
    </row>
    <row r="42" spans="1:5" ht="12.75">
      <c r="A42" s="76"/>
      <c r="B42" s="76"/>
      <c r="C42" s="76"/>
      <c r="D42" s="76"/>
      <c r="E42" s="241"/>
    </row>
    <row r="43" spans="1:5" ht="12.75" hidden="1">
      <c r="A43" s="76"/>
      <c r="B43" s="76"/>
      <c r="C43" s="76"/>
      <c r="D43" s="76"/>
      <c r="E43" s="243"/>
    </row>
    <row r="44" spans="1:5" ht="12.75">
      <c r="A44" s="76" t="s">
        <v>155</v>
      </c>
      <c r="B44" s="76"/>
      <c r="C44" s="76"/>
      <c r="D44" s="76" t="s">
        <v>398</v>
      </c>
      <c r="E44" s="243"/>
    </row>
    <row r="45" spans="6:7" ht="12.75">
      <c r="F45" s="570" t="s">
        <v>174</v>
      </c>
      <c r="G45" s="570"/>
    </row>
    <row r="46" spans="1:7" ht="18">
      <c r="A46" s="581" t="s">
        <v>426</v>
      </c>
      <c r="B46" s="581"/>
      <c r="C46" s="581"/>
      <c r="D46" s="581"/>
      <c r="E46" s="581"/>
      <c r="F46" s="581"/>
      <c r="G46" s="581"/>
    </row>
    <row r="47" spans="1:7" ht="21">
      <c r="A47" s="74"/>
      <c r="B47" s="74"/>
      <c r="C47" s="74"/>
      <c r="D47" s="74"/>
      <c r="E47" s="74"/>
      <c r="F47" s="74"/>
      <c r="G47" s="74"/>
    </row>
    <row r="48" spans="1:7" ht="49.5" customHeight="1">
      <c r="A48" s="571" t="s">
        <v>318</v>
      </c>
      <c r="B48" s="571"/>
      <c r="C48" s="571"/>
      <c r="D48" s="571"/>
      <c r="E48" s="571"/>
      <c r="F48" s="571"/>
      <c r="G48" s="571"/>
    </row>
    <row r="49" spans="1:7" ht="26.25">
      <c r="A49" s="77" t="s">
        <v>175</v>
      </c>
      <c r="B49" s="77" t="s">
        <v>164</v>
      </c>
      <c r="C49" s="77" t="s">
        <v>165</v>
      </c>
      <c r="D49" s="77" t="s">
        <v>166</v>
      </c>
      <c r="E49" s="77" t="s">
        <v>167</v>
      </c>
      <c r="F49" s="77" t="s">
        <v>168</v>
      </c>
      <c r="G49" s="77" t="s">
        <v>169</v>
      </c>
    </row>
    <row r="50" spans="1:7" ht="12.75">
      <c r="A50" s="77">
        <f>M11</f>
        <v>20.09</v>
      </c>
      <c r="B50" s="77">
        <f>P11</f>
        <v>11029.76</v>
      </c>
      <c r="C50" s="77">
        <f>Q11</f>
        <v>1.1158820285977658</v>
      </c>
      <c r="D50" s="77">
        <v>8</v>
      </c>
      <c r="E50" s="77">
        <v>1</v>
      </c>
      <c r="F50" s="77">
        <f>ROUND((A50*B50*C50)*D50,0)</f>
        <v>1978127</v>
      </c>
      <c r="G50" s="77">
        <f>ROUND(F50*30.2%,0)</f>
        <v>597394</v>
      </c>
    </row>
    <row r="51" spans="1:7" ht="12.75">
      <c r="A51" s="77">
        <f>M13</f>
        <v>7.84</v>
      </c>
      <c r="B51" s="77">
        <f>P13</f>
        <v>17612.33</v>
      </c>
      <c r="C51" s="77">
        <f>Q13</f>
        <v>1.1859641634177813</v>
      </c>
      <c r="D51" s="77">
        <v>4</v>
      </c>
      <c r="E51" s="77">
        <v>1</v>
      </c>
      <c r="F51" s="77">
        <f>ROUND((A51*B51*C51)*D51,0)+1</f>
        <v>655036</v>
      </c>
      <c r="G51" s="77">
        <f>ROUND(F51*30.2%,0)</f>
        <v>197821</v>
      </c>
    </row>
    <row r="52" spans="1:7" ht="12.75">
      <c r="A52" s="77"/>
      <c r="B52" s="77"/>
      <c r="C52" s="77"/>
      <c r="D52" s="77"/>
      <c r="E52" s="77"/>
      <c r="F52" s="77">
        <f>ROUND(A52*B52*C52*D52*E52,0)</f>
        <v>0</v>
      </c>
      <c r="G52" s="77">
        <f>ROUND(F52*30.2%,0)</f>
        <v>0</v>
      </c>
    </row>
    <row r="53" spans="1:10" ht="12.75">
      <c r="A53" s="77"/>
      <c r="B53" s="77"/>
      <c r="C53" s="77"/>
      <c r="D53" s="77"/>
      <c r="E53" s="77"/>
      <c r="F53" s="77">
        <f>ROUND(A53*B53*C53*D53*E53,0)</f>
        <v>0</v>
      </c>
      <c r="G53" s="77">
        <f>ROUND(F53*30.2%,0)</f>
        <v>0</v>
      </c>
      <c r="J53" s="76"/>
    </row>
    <row r="54" spans="1:10" ht="12.75">
      <c r="A54" s="77"/>
      <c r="B54" s="77"/>
      <c r="C54" s="77"/>
      <c r="D54" s="77"/>
      <c r="E54" s="77"/>
      <c r="F54" s="77"/>
      <c r="G54" s="77">
        <f>ROUND(F54*30.2%,0)</f>
        <v>0</v>
      </c>
      <c r="J54" s="76"/>
    </row>
    <row r="55" spans="1:10" ht="12.75">
      <c r="A55" s="248"/>
      <c r="B55" s="77"/>
      <c r="C55" s="77"/>
      <c r="D55" s="77"/>
      <c r="E55" s="77"/>
      <c r="F55" s="77"/>
      <c r="G55" s="77"/>
      <c r="J55" s="76"/>
    </row>
    <row r="56" spans="1:10" ht="12.75">
      <c r="A56" s="77" t="s">
        <v>170</v>
      </c>
      <c r="B56" s="77"/>
      <c r="C56" s="77"/>
      <c r="D56" s="77"/>
      <c r="E56" s="77"/>
      <c r="F56" s="77">
        <f>SUM(F50:F55)</f>
        <v>2633163</v>
      </c>
      <c r="G56" s="77">
        <f>SUM(G50:G55)</f>
        <v>795215</v>
      </c>
      <c r="J56" s="76"/>
    </row>
    <row r="57" ht="13.5" thickBot="1">
      <c r="J57" s="76"/>
    </row>
    <row r="58" spans="1:10" ht="105">
      <c r="A58" s="88" t="s">
        <v>176</v>
      </c>
      <c r="B58" s="79" t="s">
        <v>177</v>
      </c>
      <c r="C58" s="79" t="s">
        <v>166</v>
      </c>
      <c r="D58" s="89" t="s">
        <v>178</v>
      </c>
      <c r="G58" s="75" t="s">
        <v>88</v>
      </c>
      <c r="J58" s="76"/>
    </row>
    <row r="59" spans="1:10" ht="12.75">
      <c r="A59" s="394">
        <v>50</v>
      </c>
      <c r="B59" s="395">
        <v>2</v>
      </c>
      <c r="C59" s="395">
        <v>12</v>
      </c>
      <c r="D59" s="396">
        <f>A59*B59*C59</f>
        <v>1200</v>
      </c>
      <c r="J59" s="76"/>
    </row>
    <row r="60" spans="1:10" ht="13.5" thickBot="1">
      <c r="A60" s="82"/>
      <c r="B60" s="100"/>
      <c r="C60" s="83"/>
      <c r="D60" s="84">
        <f>A60*B60*C60</f>
        <v>0</v>
      </c>
      <c r="J60" s="76"/>
    </row>
    <row r="62" ht="12.75" hidden="1"/>
    <row r="63" spans="1:10" ht="55.5" customHeight="1" thickBot="1">
      <c r="A63" s="571" t="s">
        <v>317</v>
      </c>
      <c r="B63" s="571"/>
      <c r="C63" s="571"/>
      <c r="D63" s="571"/>
      <c r="E63" s="571"/>
      <c r="F63" s="571"/>
      <c r="G63" s="571"/>
      <c r="J63" s="76"/>
    </row>
    <row r="64" spans="1:10" ht="26.25">
      <c r="A64" s="88" t="s">
        <v>175</v>
      </c>
      <c r="B64" s="79" t="s">
        <v>164</v>
      </c>
      <c r="C64" s="79" t="s">
        <v>165</v>
      </c>
      <c r="D64" s="79" t="s">
        <v>166</v>
      </c>
      <c r="E64" s="79" t="s">
        <v>167</v>
      </c>
      <c r="F64" s="79" t="s">
        <v>168</v>
      </c>
      <c r="G64" s="89" t="s">
        <v>169</v>
      </c>
      <c r="J64" s="76"/>
    </row>
    <row r="65" spans="1:10" ht="12.75">
      <c r="A65" s="80">
        <f>M21</f>
        <v>45.25999999999999</v>
      </c>
      <c r="B65" s="77">
        <f>Q21</f>
        <v>9193</v>
      </c>
      <c r="C65" s="77">
        <f>R21</f>
        <v>1.5871194620914295</v>
      </c>
      <c r="D65" s="77">
        <v>8</v>
      </c>
      <c r="E65" s="77">
        <v>1</v>
      </c>
      <c r="F65" s="91">
        <f>ROUND((A65*B65*C65)*D65*E65,0)</f>
        <v>5282888</v>
      </c>
      <c r="G65" s="94">
        <f>ROUND(F65*30.2%,0)</f>
        <v>1595432</v>
      </c>
      <c r="I65" s="75">
        <f>F65/D65</f>
        <v>660361</v>
      </c>
      <c r="J65" s="76"/>
    </row>
    <row r="66" spans="1:10" ht="12.75">
      <c r="A66" s="80">
        <f>M25</f>
        <v>45.260000000000005</v>
      </c>
      <c r="B66" s="77">
        <f>Q25</f>
        <v>11082.59</v>
      </c>
      <c r="C66" s="77">
        <f>R25</f>
        <v>1.4870149944925042</v>
      </c>
      <c r="D66" s="77">
        <v>4</v>
      </c>
      <c r="E66" s="77">
        <v>1</v>
      </c>
      <c r="F66" s="91">
        <f>ROUND((A66*B66*C66)*D66*E66,0)-9</f>
        <v>2983526</v>
      </c>
      <c r="G66" s="94">
        <f>ROUND(F66*30.2%,0)</f>
        <v>901025</v>
      </c>
      <c r="I66" s="75">
        <f>F66/D66</f>
        <v>745881.5</v>
      </c>
      <c r="J66" s="76"/>
    </row>
    <row r="67" spans="1:10" ht="12.75">
      <c r="A67" s="80"/>
      <c r="B67" s="77"/>
      <c r="C67" s="77"/>
      <c r="D67" s="77"/>
      <c r="E67" s="77"/>
      <c r="F67" s="91"/>
      <c r="G67" s="94">
        <f>ROUND(F67*30.2%,0)</f>
        <v>0</v>
      </c>
      <c r="J67" s="76"/>
    </row>
    <row r="68" spans="1:10" ht="12.75">
      <c r="A68" s="80"/>
      <c r="B68" s="77"/>
      <c r="C68" s="101"/>
      <c r="D68" s="77"/>
      <c r="E68" s="77"/>
      <c r="F68" s="77">
        <f>ROUND((A68*B68*C68)*D68*E68,2)</f>
        <v>0</v>
      </c>
      <c r="G68" s="81">
        <f>ROUND(F68*30.2%,0)</f>
        <v>0</v>
      </c>
      <c r="J68" s="76"/>
    </row>
    <row r="69" spans="1:10" ht="12.75">
      <c r="A69" s="80"/>
      <c r="B69" s="77"/>
      <c r="C69" s="77"/>
      <c r="D69" s="77"/>
      <c r="E69" s="77"/>
      <c r="F69" s="77"/>
      <c r="G69" s="81"/>
      <c r="J69" s="76"/>
    </row>
    <row r="70" spans="1:10" ht="13.5" thickBot="1">
      <c r="A70" s="82" t="s">
        <v>170</v>
      </c>
      <c r="B70" s="83"/>
      <c r="C70" s="83"/>
      <c r="D70" s="83"/>
      <c r="E70" s="83"/>
      <c r="F70" s="92">
        <f>SUM(F65:F69)</f>
        <v>8266414</v>
      </c>
      <c r="G70" s="249">
        <f>SUM(G65:G69)</f>
        <v>2496457</v>
      </c>
      <c r="H70" s="76"/>
      <c r="I70" s="76"/>
      <c r="J70" s="76"/>
    </row>
    <row r="72" spans="1:10" ht="12.75">
      <c r="A72" s="240" t="s">
        <v>399</v>
      </c>
      <c r="B72" s="240"/>
      <c r="C72" s="240"/>
      <c r="D72" s="240" t="s">
        <v>396</v>
      </c>
      <c r="E72" s="241"/>
      <c r="F72" s="240"/>
      <c r="G72" s="242"/>
      <c r="H72" s="76"/>
      <c r="I72" s="76"/>
      <c r="J72" s="76"/>
    </row>
    <row r="73" spans="1:10" ht="12.75">
      <c r="A73" s="76"/>
      <c r="B73" s="76"/>
      <c r="C73" s="76"/>
      <c r="D73" s="76"/>
      <c r="E73" s="243"/>
      <c r="F73" s="76"/>
      <c r="G73" s="242"/>
      <c r="H73" s="76"/>
      <c r="I73" s="76"/>
      <c r="J73" s="76"/>
    </row>
    <row r="74" spans="1:10" ht="9" customHeight="1">
      <c r="A74" s="76"/>
      <c r="B74" s="76"/>
      <c r="C74" s="76"/>
      <c r="D74" s="76"/>
      <c r="E74" s="243"/>
      <c r="F74" s="76"/>
      <c r="G74" s="242"/>
      <c r="H74" s="76"/>
      <c r="I74" s="76"/>
      <c r="J74" s="76"/>
    </row>
    <row r="75" spans="1:10" ht="12.75">
      <c r="A75" s="76" t="s">
        <v>155</v>
      </c>
      <c r="B75" s="76"/>
      <c r="C75" s="76"/>
      <c r="D75" s="76" t="s">
        <v>398</v>
      </c>
      <c r="E75" s="243"/>
      <c r="F75" s="76"/>
      <c r="G75" s="242"/>
      <c r="H75" s="76"/>
      <c r="I75" s="76"/>
      <c r="J75" s="76"/>
    </row>
  </sheetData>
  <sheetProtection/>
  <mergeCells count="21">
    <mergeCell ref="A63:G63"/>
    <mergeCell ref="F1:G1"/>
    <mergeCell ref="A2:G2"/>
    <mergeCell ref="F3:G3"/>
    <mergeCell ref="A4:G4"/>
    <mergeCell ref="D38:E38"/>
    <mergeCell ref="D39:E39"/>
    <mergeCell ref="A11:G11"/>
    <mergeCell ref="D12:E12"/>
    <mergeCell ref="D13:E13"/>
    <mergeCell ref="D14:E14"/>
    <mergeCell ref="D34:E34"/>
    <mergeCell ref="A16:G16"/>
    <mergeCell ref="A46:G46"/>
    <mergeCell ref="D35:E35"/>
    <mergeCell ref="D36:E36"/>
    <mergeCell ref="F45:G45"/>
    <mergeCell ref="D37:E37"/>
    <mergeCell ref="A48:G48"/>
    <mergeCell ref="A24:G24"/>
    <mergeCell ref="A33:G33"/>
  </mergeCells>
  <printOptions/>
  <pageMargins left="0.5905511811023623" right="0" top="0.18" bottom="0.31" header="0.17" footer="0.31496062992125984"/>
  <pageSetup horizontalDpi="600" verticalDpi="600" orientation="portrait" paperSize="9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zoomScalePageLayoutView="0" workbookViewId="0" topLeftCell="A30">
      <selection activeCell="R16" sqref="R16"/>
    </sheetView>
  </sheetViews>
  <sheetFormatPr defaultColWidth="9.140625" defaultRowHeight="15"/>
  <cols>
    <col min="1" max="1" width="23.421875" style="76" customWidth="1"/>
    <col min="2" max="2" width="16.8515625" style="76" customWidth="1"/>
    <col min="3" max="4" width="12.8515625" style="76" customWidth="1"/>
    <col min="5" max="5" width="13.00390625" style="76" customWidth="1"/>
    <col min="6" max="6" width="11.7109375" style="76" customWidth="1"/>
    <col min="7" max="7" width="10.421875" style="76" customWidth="1"/>
    <col min="8" max="16384" width="9.140625" style="76" customWidth="1"/>
  </cols>
  <sheetData>
    <row r="1" spans="5:6" ht="12.75">
      <c r="E1" s="585" t="s">
        <v>179</v>
      </c>
      <c r="F1" s="585"/>
    </row>
    <row r="2" spans="1:6" ht="18">
      <c r="A2" s="586" t="s">
        <v>180</v>
      </c>
      <c r="B2" s="586"/>
      <c r="C2" s="586"/>
      <c r="D2" s="586"/>
      <c r="E2" s="586"/>
      <c r="F2" s="586"/>
    </row>
    <row r="3" spans="1:6" s="93" customFormat="1" ht="12.75">
      <c r="A3" s="233"/>
      <c r="B3" s="233"/>
      <c r="C3" s="233"/>
      <c r="D3" s="233"/>
      <c r="E3" s="233"/>
      <c r="F3" s="233"/>
    </row>
    <row r="4" spans="1:6" ht="13.5" thickBot="1">
      <c r="A4" s="233"/>
      <c r="B4" s="233"/>
      <c r="C4" s="233"/>
      <c r="D4" s="233"/>
      <c r="E4" s="233"/>
      <c r="F4" s="233"/>
    </row>
    <row r="5" spans="1:6" s="75" customFormat="1" ht="26.25">
      <c r="A5" s="88"/>
      <c r="B5" s="79" t="s">
        <v>181</v>
      </c>
      <c r="C5" s="79" t="s">
        <v>182</v>
      </c>
      <c r="D5" s="79" t="s">
        <v>166</v>
      </c>
      <c r="E5" s="79" t="s">
        <v>167</v>
      </c>
      <c r="F5" s="89" t="s">
        <v>183</v>
      </c>
    </row>
    <row r="6" spans="1:6" ht="12.75">
      <c r="A6" s="80" t="s">
        <v>184</v>
      </c>
      <c r="B6" s="234">
        <f>38.28*246</f>
        <v>9416.880000000001</v>
      </c>
      <c r="C6" s="234">
        <v>1</v>
      </c>
      <c r="D6" s="234">
        <v>12</v>
      </c>
      <c r="E6" s="234">
        <v>1</v>
      </c>
      <c r="F6" s="235">
        <f>ROUND(B6*C6*D6*E6,2)</f>
        <v>113002.56</v>
      </c>
    </row>
    <row r="7" spans="1:6" ht="12.75" hidden="1">
      <c r="A7" s="80" t="s">
        <v>184</v>
      </c>
      <c r="B7" s="234"/>
      <c r="C7" s="234">
        <v>1</v>
      </c>
      <c r="D7" s="234">
        <v>0</v>
      </c>
      <c r="E7" s="234">
        <v>1</v>
      </c>
      <c r="F7" s="235">
        <f>ROUND(B7*C7*D7*E7,2)</f>
        <v>0</v>
      </c>
    </row>
    <row r="8" spans="1:6" ht="12.75" hidden="1">
      <c r="A8" s="80" t="s">
        <v>185</v>
      </c>
      <c r="B8" s="234"/>
      <c r="C8" s="234">
        <v>1</v>
      </c>
      <c r="D8" s="234">
        <v>1</v>
      </c>
      <c r="E8" s="234">
        <v>1</v>
      </c>
      <c r="F8" s="235">
        <f>ROUND(B8*C8*D8*E8,2)</f>
        <v>0</v>
      </c>
    </row>
    <row r="9" spans="1:6" ht="12.75">
      <c r="A9" s="80" t="s">
        <v>185</v>
      </c>
      <c r="B9" s="234">
        <v>513.7</v>
      </c>
      <c r="C9" s="234">
        <v>1</v>
      </c>
      <c r="D9" s="234">
        <v>12</v>
      </c>
      <c r="E9" s="234">
        <v>1</v>
      </c>
      <c r="F9" s="235">
        <f>ROUND(B9*C9*D9*E9,2)</f>
        <v>6164.4</v>
      </c>
    </row>
    <row r="10" spans="1:6" ht="12.75">
      <c r="A10" s="80" t="s">
        <v>186</v>
      </c>
      <c r="B10" s="234">
        <v>6016</v>
      </c>
      <c r="C10" s="234">
        <v>1</v>
      </c>
      <c r="D10" s="234">
        <v>4</v>
      </c>
      <c r="E10" s="234">
        <v>1</v>
      </c>
      <c r="F10" s="235">
        <f>ROUND(B10*C10*D10*E10,0)</f>
        <v>24064</v>
      </c>
    </row>
    <row r="11" spans="1:6" ht="26.25">
      <c r="A11" s="80" t="s">
        <v>187</v>
      </c>
      <c r="B11" s="234">
        <v>5808</v>
      </c>
      <c r="C11" s="234">
        <v>1</v>
      </c>
      <c r="D11" s="234">
        <v>12</v>
      </c>
      <c r="E11" s="234">
        <v>1</v>
      </c>
      <c r="F11" s="235">
        <f aca="true" t="shared" si="0" ref="F11:F17">ROUND(B11*C11*D11*E11,2)</f>
        <v>69696</v>
      </c>
    </row>
    <row r="12" spans="1:6" ht="12.75">
      <c r="A12" s="116" t="s">
        <v>428</v>
      </c>
      <c r="B12" s="338">
        <v>8000</v>
      </c>
      <c r="C12" s="234">
        <v>1</v>
      </c>
      <c r="D12" s="234">
        <v>1</v>
      </c>
      <c r="E12" s="234">
        <v>1</v>
      </c>
      <c r="F12" s="235">
        <f t="shared" si="0"/>
        <v>8000</v>
      </c>
    </row>
    <row r="13" spans="1:6" ht="12.75">
      <c r="A13" s="80" t="s">
        <v>429</v>
      </c>
      <c r="B13" s="338">
        <v>12600</v>
      </c>
      <c r="C13" s="234">
        <v>1</v>
      </c>
      <c r="D13" s="234">
        <v>1</v>
      </c>
      <c r="E13" s="234">
        <v>1</v>
      </c>
      <c r="F13" s="235">
        <f t="shared" si="0"/>
        <v>12600</v>
      </c>
    </row>
    <row r="14" spans="1:6" ht="12.75">
      <c r="A14" s="80" t="s">
        <v>189</v>
      </c>
      <c r="B14" s="234">
        <v>2000.2</v>
      </c>
      <c r="C14" s="234">
        <v>1</v>
      </c>
      <c r="D14" s="234">
        <v>12</v>
      </c>
      <c r="E14" s="234">
        <v>1</v>
      </c>
      <c r="F14" s="235">
        <f t="shared" si="0"/>
        <v>24002.4</v>
      </c>
    </row>
    <row r="15" spans="1:6" ht="26.25">
      <c r="A15" s="80" t="s">
        <v>190</v>
      </c>
      <c r="B15" s="234">
        <v>2030</v>
      </c>
      <c r="C15" s="234">
        <v>1</v>
      </c>
      <c r="D15" s="234">
        <v>1</v>
      </c>
      <c r="E15" s="234">
        <v>1</v>
      </c>
      <c r="F15" s="235">
        <f>ROUND(B15*C15*D15*E15,2)</f>
        <v>2030</v>
      </c>
    </row>
    <row r="16" spans="1:6" ht="27" customHeight="1">
      <c r="A16" s="111" t="s">
        <v>191</v>
      </c>
      <c r="B16" s="339">
        <v>2200</v>
      </c>
      <c r="C16" s="234">
        <v>1</v>
      </c>
      <c r="D16" s="234">
        <v>12</v>
      </c>
      <c r="E16" s="234">
        <v>1</v>
      </c>
      <c r="F16" s="235">
        <f t="shared" si="0"/>
        <v>26400</v>
      </c>
    </row>
    <row r="17" spans="1:6" ht="12.75">
      <c r="A17" s="116" t="s">
        <v>430</v>
      </c>
      <c r="B17" s="338">
        <v>36000</v>
      </c>
      <c r="C17" s="234">
        <v>1</v>
      </c>
      <c r="D17" s="234">
        <v>1</v>
      </c>
      <c r="E17" s="234">
        <v>1</v>
      </c>
      <c r="F17" s="235">
        <f t="shared" si="0"/>
        <v>36000</v>
      </c>
    </row>
    <row r="18" spans="1:6" ht="27" thickBot="1">
      <c r="A18" s="82" t="s">
        <v>304</v>
      </c>
      <c r="B18" s="236">
        <v>4815.75</v>
      </c>
      <c r="C18" s="236">
        <v>1</v>
      </c>
      <c r="D18" s="236">
        <v>12</v>
      </c>
      <c r="E18" s="236">
        <v>1</v>
      </c>
      <c r="F18" s="405">
        <f>ROUND(B18*C18*D18*E18,2)+0.04</f>
        <v>57789.04</v>
      </c>
    </row>
    <row r="19" spans="1:6" ht="12.75">
      <c r="A19" s="95"/>
      <c r="B19" s="93"/>
      <c r="C19" s="93"/>
      <c r="D19" s="93"/>
      <c r="E19" s="93"/>
      <c r="F19" s="93"/>
    </row>
    <row r="20" spans="1:6" ht="12.75">
      <c r="A20" s="95"/>
      <c r="B20" s="93"/>
      <c r="C20" s="93"/>
      <c r="D20" s="93"/>
      <c r="E20" s="93"/>
      <c r="F20" s="93"/>
    </row>
    <row r="21" ht="12.75">
      <c r="A21" s="75"/>
    </row>
    <row r="22" spans="1:6" ht="32.25" customHeight="1">
      <c r="A22" s="587" t="s">
        <v>194</v>
      </c>
      <c r="B22" s="588"/>
      <c r="C22" s="588"/>
      <c r="D22" s="588"/>
      <c r="E22" s="588"/>
      <c r="F22" s="588"/>
    </row>
    <row r="23" ht="13.5" thickBot="1">
      <c r="A23" s="75"/>
    </row>
    <row r="24" spans="1:6" ht="26.25">
      <c r="A24" s="88"/>
      <c r="B24" s="79" t="s">
        <v>181</v>
      </c>
      <c r="C24" s="79" t="s">
        <v>182</v>
      </c>
      <c r="D24" s="79" t="s">
        <v>166</v>
      </c>
      <c r="E24" s="79" t="s">
        <v>167</v>
      </c>
      <c r="F24" s="89" t="s">
        <v>183</v>
      </c>
    </row>
    <row r="25" spans="1:6" ht="26.25">
      <c r="A25" s="80" t="s">
        <v>195</v>
      </c>
      <c r="B25" s="234">
        <v>247.8</v>
      </c>
      <c r="C25" s="108">
        <v>2</v>
      </c>
      <c r="D25" s="234">
        <v>12</v>
      </c>
      <c r="E25" s="234">
        <v>1</v>
      </c>
      <c r="F25" s="235">
        <f aca="true" t="shared" si="1" ref="F25:F32">ROUND(B25*C25*D25*E25,2)</f>
        <v>5947.2</v>
      </c>
    </row>
    <row r="26" spans="1:6" ht="13.5" thickBot="1">
      <c r="A26" s="82" t="s">
        <v>196</v>
      </c>
      <c r="B26" s="236">
        <v>0.52</v>
      </c>
      <c r="C26" s="113">
        <v>1724</v>
      </c>
      <c r="D26" s="236">
        <v>12</v>
      </c>
      <c r="E26" s="236">
        <v>1</v>
      </c>
      <c r="F26" s="237">
        <f>ROUND(B26*C26*D26*E26,1)</f>
        <v>10757.8</v>
      </c>
    </row>
    <row r="27" spans="1:6" ht="26.25">
      <c r="A27" s="111" t="s">
        <v>195</v>
      </c>
      <c r="B27" s="339"/>
      <c r="C27" s="400"/>
      <c r="D27" s="339"/>
      <c r="E27" s="339"/>
      <c r="F27" s="401">
        <f t="shared" si="1"/>
        <v>0</v>
      </c>
    </row>
    <row r="28" spans="1:6" ht="13.5" thickBot="1">
      <c r="A28" s="82" t="s">
        <v>196</v>
      </c>
      <c r="B28" s="236"/>
      <c r="C28" s="113"/>
      <c r="D28" s="236"/>
      <c r="E28" s="236"/>
      <c r="F28" s="237">
        <f t="shared" si="1"/>
        <v>0</v>
      </c>
    </row>
    <row r="29" spans="1:6" ht="26.25">
      <c r="A29" s="111" t="s">
        <v>195</v>
      </c>
      <c r="B29" s="339"/>
      <c r="C29" s="400"/>
      <c r="D29" s="339"/>
      <c r="E29" s="339"/>
      <c r="F29" s="401">
        <f t="shared" si="1"/>
        <v>0</v>
      </c>
    </row>
    <row r="30" spans="1:6" ht="13.5" thickBot="1">
      <c r="A30" s="82" t="s">
        <v>196</v>
      </c>
      <c r="B30" s="236"/>
      <c r="C30" s="113"/>
      <c r="D30" s="236"/>
      <c r="E30" s="236"/>
      <c r="F30" s="237">
        <f t="shared" si="1"/>
        <v>0</v>
      </c>
    </row>
    <row r="31" spans="1:6" ht="26.25">
      <c r="A31" s="111" t="s">
        <v>195</v>
      </c>
      <c r="B31" s="339"/>
      <c r="C31" s="400"/>
      <c r="D31" s="339"/>
      <c r="E31" s="339"/>
      <c r="F31" s="401">
        <f t="shared" si="1"/>
        <v>0</v>
      </c>
    </row>
    <row r="32" spans="1:6" ht="13.5" thickBot="1">
      <c r="A32" s="82" t="s">
        <v>196</v>
      </c>
      <c r="B32" s="236"/>
      <c r="C32" s="113"/>
      <c r="D32" s="236"/>
      <c r="E32" s="236"/>
      <c r="F32" s="237">
        <f t="shared" si="1"/>
        <v>0</v>
      </c>
    </row>
    <row r="33" spans="1:6" ht="13.5" thickBot="1">
      <c r="A33" s="402" t="s">
        <v>392</v>
      </c>
      <c r="B33" s="403">
        <v>1062</v>
      </c>
      <c r="C33" s="403">
        <v>1</v>
      </c>
      <c r="D33" s="403">
        <v>12</v>
      </c>
      <c r="E33" s="403">
        <v>1</v>
      </c>
      <c r="F33" s="404">
        <f>ROUND(B33*C33*E33*D33,2)</f>
        <v>12744</v>
      </c>
    </row>
    <row r="34" spans="1:6" ht="12.75">
      <c r="A34" s="111" t="s">
        <v>170</v>
      </c>
      <c r="B34" s="339"/>
      <c r="C34" s="339"/>
      <c r="D34" s="339"/>
      <c r="E34" s="339"/>
      <c r="F34" s="401">
        <f>F25+F26+F33+F27+F28+F29+F30+F31+F32</f>
        <v>29449</v>
      </c>
    </row>
    <row r="35" spans="1:6" ht="27" customHeight="1" thickBot="1">
      <c r="A35" s="82" t="s">
        <v>197</v>
      </c>
      <c r="B35" s="374"/>
      <c r="C35" s="236"/>
      <c r="D35" s="236"/>
      <c r="E35" s="236"/>
      <c r="F35" s="237">
        <f>ROUND(B35*C35*D35*E35,2)</f>
        <v>0</v>
      </c>
    </row>
    <row r="36" ht="12.75">
      <c r="A36" s="75"/>
    </row>
    <row r="38" spans="1:6" ht="18">
      <c r="A38" s="589" t="s">
        <v>198</v>
      </c>
      <c r="B38" s="590"/>
      <c r="C38" s="590"/>
      <c r="D38" s="590"/>
      <c r="E38" s="590"/>
      <c r="F38" s="590"/>
    </row>
    <row r="39" ht="13.5" thickBot="1"/>
    <row r="40" spans="1:6" ht="26.25">
      <c r="A40" s="88"/>
      <c r="B40" s="79" t="s">
        <v>181</v>
      </c>
      <c r="C40" s="79" t="s">
        <v>182</v>
      </c>
      <c r="D40" s="79" t="s">
        <v>166</v>
      </c>
      <c r="E40" s="79" t="s">
        <v>167</v>
      </c>
      <c r="F40" s="89" t="s">
        <v>183</v>
      </c>
    </row>
    <row r="41" spans="1:6" ht="12.75">
      <c r="A41" s="80" t="s">
        <v>305</v>
      </c>
      <c r="B41" s="234">
        <v>1600</v>
      </c>
      <c r="C41" s="234">
        <v>109</v>
      </c>
      <c r="D41" s="234">
        <v>1</v>
      </c>
      <c r="E41" s="234">
        <v>1</v>
      </c>
      <c r="F41" s="235">
        <f aca="true" t="shared" si="2" ref="F41:F49">ROUND(B41*C41*D41*E41,2)</f>
        <v>174400</v>
      </c>
    </row>
    <row r="42" spans="1:6" ht="12.75">
      <c r="A42" s="80"/>
      <c r="B42" s="234">
        <v>1410</v>
      </c>
      <c r="C42" s="234">
        <v>13</v>
      </c>
      <c r="D42" s="234">
        <v>1</v>
      </c>
      <c r="E42" s="234">
        <v>1</v>
      </c>
      <c r="F42" s="235">
        <f t="shared" si="2"/>
        <v>18330</v>
      </c>
    </row>
    <row r="43" spans="1:6" ht="12.75">
      <c r="A43" s="80"/>
      <c r="B43" s="234">
        <v>120</v>
      </c>
      <c r="C43" s="234">
        <v>20</v>
      </c>
      <c r="D43" s="234">
        <v>1</v>
      </c>
      <c r="E43" s="234">
        <v>1</v>
      </c>
      <c r="F43" s="235">
        <f t="shared" si="2"/>
        <v>2400</v>
      </c>
    </row>
    <row r="44" spans="1:6" ht="12.75">
      <c r="A44" s="116"/>
      <c r="B44" s="238">
        <v>150</v>
      </c>
      <c r="C44" s="238">
        <v>122</v>
      </c>
      <c r="D44" s="238">
        <v>1</v>
      </c>
      <c r="E44" s="238">
        <v>1</v>
      </c>
      <c r="F44" s="235">
        <f t="shared" si="2"/>
        <v>18300</v>
      </c>
    </row>
    <row r="45" spans="1:6" ht="12.75" hidden="1">
      <c r="A45" s="80"/>
      <c r="B45" s="234"/>
      <c r="C45" s="234"/>
      <c r="D45" s="238">
        <v>1</v>
      </c>
      <c r="E45" s="234">
        <v>1</v>
      </c>
      <c r="F45" s="235">
        <f>ROUND(B45*C45*D45*E45,2)</f>
        <v>0</v>
      </c>
    </row>
    <row r="46" spans="1:6" ht="12.75" hidden="1">
      <c r="A46" s="116"/>
      <c r="B46" s="238"/>
      <c r="C46" s="238"/>
      <c r="D46" s="238">
        <v>1</v>
      </c>
      <c r="E46" s="238">
        <v>1</v>
      </c>
      <c r="F46" s="235">
        <f>ROUND(B46*C46*D46*E46,2)</f>
        <v>0</v>
      </c>
    </row>
    <row r="47" spans="1:6" ht="12.75" hidden="1">
      <c r="A47" s="116"/>
      <c r="B47" s="238"/>
      <c r="C47" s="238"/>
      <c r="D47" s="238">
        <v>1</v>
      </c>
      <c r="E47" s="238">
        <v>1</v>
      </c>
      <c r="F47" s="235">
        <f t="shared" si="2"/>
        <v>0</v>
      </c>
    </row>
    <row r="48" spans="1:6" ht="12.75">
      <c r="A48" s="116"/>
      <c r="B48" s="238"/>
      <c r="C48" s="238"/>
      <c r="D48" s="238">
        <v>1</v>
      </c>
      <c r="E48" s="238">
        <v>1</v>
      </c>
      <c r="F48" s="239">
        <f t="shared" si="2"/>
        <v>0</v>
      </c>
    </row>
    <row r="49" spans="1:6" ht="12.75">
      <c r="A49" s="116" t="s">
        <v>408</v>
      </c>
      <c r="B49" s="238">
        <v>3100</v>
      </c>
      <c r="C49" s="238">
        <v>1</v>
      </c>
      <c r="D49" s="238">
        <v>1</v>
      </c>
      <c r="E49" s="238">
        <v>1</v>
      </c>
      <c r="F49" s="239">
        <f t="shared" si="2"/>
        <v>3100</v>
      </c>
    </row>
    <row r="50" spans="1:6" ht="12.75">
      <c r="A50" s="116" t="s">
        <v>409</v>
      </c>
      <c r="B50" s="238">
        <v>19869.6</v>
      </c>
      <c r="C50" s="238">
        <v>1</v>
      </c>
      <c r="D50" s="238">
        <v>1</v>
      </c>
      <c r="E50" s="238">
        <v>1</v>
      </c>
      <c r="F50" s="239">
        <f>ROUND(B50*C50*D50*E50,2)</f>
        <v>19869.6</v>
      </c>
    </row>
    <row r="51" spans="1:6" ht="12.75">
      <c r="A51" s="116" t="s">
        <v>431</v>
      </c>
      <c r="B51" s="238">
        <v>585</v>
      </c>
      <c r="C51" s="238">
        <v>1</v>
      </c>
      <c r="D51" s="238">
        <v>12</v>
      </c>
      <c r="E51" s="238">
        <v>1</v>
      </c>
      <c r="F51" s="239">
        <f aca="true" t="shared" si="3" ref="F51:F56">ROUND(B51*C51*D51*E51,2)</f>
        <v>7020</v>
      </c>
    </row>
    <row r="52" spans="1:6" ht="12.75" hidden="1">
      <c r="A52" s="116"/>
      <c r="B52" s="238"/>
      <c r="C52" s="238">
        <v>1</v>
      </c>
      <c r="D52" s="238">
        <v>1</v>
      </c>
      <c r="E52" s="238">
        <v>1</v>
      </c>
      <c r="F52" s="239">
        <f t="shared" si="3"/>
        <v>0</v>
      </c>
    </row>
    <row r="53" spans="1:6" ht="12.75" hidden="1">
      <c r="A53" s="116"/>
      <c r="B53" s="238"/>
      <c r="C53" s="238">
        <v>1</v>
      </c>
      <c r="D53" s="238">
        <v>1</v>
      </c>
      <c r="E53" s="238">
        <v>1</v>
      </c>
      <c r="F53" s="239">
        <f t="shared" si="3"/>
        <v>0</v>
      </c>
    </row>
    <row r="54" spans="1:6" ht="12.75">
      <c r="A54" s="116" t="s">
        <v>432</v>
      </c>
      <c r="B54" s="238">
        <v>4300</v>
      </c>
      <c r="C54" s="238">
        <v>1</v>
      </c>
      <c r="D54" s="238">
        <v>1</v>
      </c>
      <c r="E54" s="238">
        <v>1</v>
      </c>
      <c r="F54" s="239">
        <f>ROUND(B54*C54*D54*E54,2)</f>
        <v>4300</v>
      </c>
    </row>
    <row r="55" spans="1:6" ht="12.75" hidden="1">
      <c r="A55" s="116"/>
      <c r="B55" s="238"/>
      <c r="C55" s="238">
        <v>1</v>
      </c>
      <c r="D55" s="238">
        <v>1</v>
      </c>
      <c r="E55" s="238">
        <v>1</v>
      </c>
      <c r="F55" s="239">
        <f t="shared" si="3"/>
        <v>0</v>
      </c>
    </row>
    <row r="56" spans="1:6" ht="12.75" hidden="1">
      <c r="A56" s="116"/>
      <c r="B56" s="238"/>
      <c r="C56" s="238">
        <v>1</v>
      </c>
      <c r="D56" s="238">
        <v>1</v>
      </c>
      <c r="E56" s="238">
        <v>1</v>
      </c>
      <c r="F56" s="239">
        <f t="shared" si="3"/>
        <v>0</v>
      </c>
    </row>
    <row r="57" spans="1:6" ht="12.75" hidden="1">
      <c r="A57" s="116"/>
      <c r="B57" s="238"/>
      <c r="C57" s="238"/>
      <c r="D57" s="238"/>
      <c r="E57" s="238"/>
      <c r="F57" s="239"/>
    </row>
    <row r="58" spans="1:6" ht="12.75">
      <c r="A58" s="80" t="s">
        <v>170</v>
      </c>
      <c r="B58" s="234"/>
      <c r="C58" s="234"/>
      <c r="D58" s="234"/>
      <c r="E58" s="234"/>
      <c r="F58" s="235">
        <f>SUM(F41:F57)</f>
        <v>247719.6</v>
      </c>
    </row>
    <row r="59" spans="1:6" ht="12.75">
      <c r="A59" s="80" t="s">
        <v>199</v>
      </c>
      <c r="B59" s="234"/>
      <c r="C59" s="234"/>
      <c r="D59" s="234"/>
      <c r="E59" s="234"/>
      <c r="F59" s="235"/>
    </row>
    <row r="60" spans="1:6" ht="12.75">
      <c r="A60" s="591" t="s">
        <v>200</v>
      </c>
      <c r="B60" s="592"/>
      <c r="C60" s="592"/>
      <c r="D60" s="592"/>
      <c r="E60" s="592"/>
      <c r="F60" s="593"/>
    </row>
    <row r="61" spans="1:6" ht="12.75" hidden="1">
      <c r="A61" s="98"/>
      <c r="B61" s="234"/>
      <c r="C61" s="234"/>
      <c r="D61" s="234"/>
      <c r="E61" s="234"/>
      <c r="F61" s="235"/>
    </row>
    <row r="62" spans="1:6" ht="12.75" hidden="1">
      <c r="A62" s="98"/>
      <c r="B62" s="234"/>
      <c r="C62" s="234"/>
      <c r="D62" s="234"/>
      <c r="E62" s="234"/>
      <c r="F62" s="235"/>
    </row>
    <row r="63" spans="1:6" ht="12.75" hidden="1">
      <c r="A63" s="98"/>
      <c r="B63" s="234"/>
      <c r="C63" s="234" t="s">
        <v>88</v>
      </c>
      <c r="D63" s="234"/>
      <c r="E63" s="234"/>
      <c r="F63" s="235"/>
    </row>
    <row r="64" spans="1:6" ht="12.75" hidden="1">
      <c r="A64" s="98"/>
      <c r="B64" s="234"/>
      <c r="C64" s="234"/>
      <c r="D64" s="234"/>
      <c r="E64" s="234"/>
      <c r="F64" s="235"/>
    </row>
    <row r="65" spans="1:6" ht="12.75" hidden="1">
      <c r="A65" s="98"/>
      <c r="B65" s="234"/>
      <c r="C65" s="234"/>
      <c r="D65" s="234"/>
      <c r="E65" s="234"/>
      <c r="F65" s="235"/>
    </row>
    <row r="66" spans="1:6" ht="12.75">
      <c r="A66" s="98" t="s">
        <v>423</v>
      </c>
      <c r="B66" s="234"/>
      <c r="C66" s="234">
        <v>1</v>
      </c>
      <c r="D66" s="234">
        <v>1</v>
      </c>
      <c r="E66" s="234">
        <v>1</v>
      </c>
      <c r="F66" s="235">
        <f>ROUND(B66*C66*D66*E66,2)</f>
        <v>0</v>
      </c>
    </row>
    <row r="67" spans="1:6" ht="12.75">
      <c r="A67" s="80" t="s">
        <v>306</v>
      </c>
      <c r="B67" s="234"/>
      <c r="C67" s="234"/>
      <c r="D67" s="234"/>
      <c r="E67" s="234"/>
      <c r="F67" s="387">
        <v>0</v>
      </c>
    </row>
    <row r="68" spans="1:6" ht="8.25" customHeight="1" hidden="1">
      <c r="A68" s="98"/>
      <c r="B68" s="234"/>
      <c r="C68" s="234"/>
      <c r="D68" s="234"/>
      <c r="E68" s="234"/>
      <c r="F68" s="235"/>
    </row>
    <row r="69" spans="1:6" ht="10.5" customHeight="1" hidden="1">
      <c r="A69" s="98"/>
      <c r="B69" s="234"/>
      <c r="C69" s="234"/>
      <c r="D69" s="234"/>
      <c r="E69" s="234"/>
      <c r="F69" s="235"/>
    </row>
    <row r="70" spans="1:6" ht="13.5" thickBot="1">
      <c r="A70" s="99" t="s">
        <v>170</v>
      </c>
      <c r="B70" s="236"/>
      <c r="C70" s="236"/>
      <c r="D70" s="236"/>
      <c r="E70" s="236"/>
      <c r="F70" s="237">
        <f>SUM(F61:F69)</f>
        <v>0</v>
      </c>
    </row>
    <row r="72" ht="10.5" customHeight="1"/>
    <row r="73" spans="1:10" ht="12.75">
      <c r="A73" s="240" t="s">
        <v>399</v>
      </c>
      <c r="B73" s="240"/>
      <c r="C73" s="240"/>
      <c r="D73" s="240" t="s">
        <v>396</v>
      </c>
      <c r="E73" s="241"/>
      <c r="F73" s="240"/>
      <c r="G73" s="242"/>
      <c r="H73" s="75"/>
      <c r="I73" s="75"/>
      <c r="J73" s="75"/>
    </row>
    <row r="74" spans="5:10" ht="12.75">
      <c r="E74" s="243"/>
      <c r="G74" s="242"/>
      <c r="H74" s="75"/>
      <c r="I74" s="75"/>
      <c r="J74" s="75"/>
    </row>
    <row r="75" spans="5:10" ht="12.75">
      <c r="E75" s="243"/>
      <c r="G75" s="242"/>
      <c r="H75" s="75"/>
      <c r="I75" s="75"/>
      <c r="J75" s="75"/>
    </row>
    <row r="76" spans="1:10" ht="12.75">
      <c r="A76" s="76" t="s">
        <v>155</v>
      </c>
      <c r="D76" s="76" t="s">
        <v>398</v>
      </c>
      <c r="E76" s="243"/>
      <c r="G76" s="242"/>
      <c r="H76" s="75"/>
      <c r="I76" s="75"/>
      <c r="J76" s="75"/>
    </row>
    <row r="77" spans="7:82" ht="12.75"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</row>
  </sheetData>
  <sheetProtection/>
  <mergeCells count="5">
    <mergeCell ref="E1:F1"/>
    <mergeCell ref="A2:F2"/>
    <mergeCell ref="A22:F22"/>
    <mergeCell ref="A38:F38"/>
    <mergeCell ref="A60:F60"/>
  </mergeCells>
  <printOptions/>
  <pageMargins left="0" right="0" top="0.29" bottom="0.32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23.421875" style="71" customWidth="1"/>
    <col min="2" max="2" width="16.8515625" style="71" customWidth="1"/>
    <col min="3" max="4" width="12.8515625" style="71" customWidth="1"/>
    <col min="5" max="5" width="13.00390625" style="71" customWidth="1"/>
    <col min="6" max="6" width="12.00390625" style="71" customWidth="1"/>
    <col min="7" max="16384" width="9.140625" style="71" customWidth="1"/>
  </cols>
  <sheetData>
    <row r="1" spans="5:6" ht="12.75">
      <c r="E1" s="594" t="s">
        <v>201</v>
      </c>
      <c r="F1" s="594"/>
    </row>
    <row r="2" spans="1:6" ht="18">
      <c r="A2" s="586" t="s">
        <v>202</v>
      </c>
      <c r="B2" s="586"/>
      <c r="C2" s="586"/>
      <c r="D2" s="586"/>
      <c r="E2" s="586"/>
      <c r="F2" s="586"/>
    </row>
    <row r="3" spans="1:6" s="104" customFormat="1" ht="12.75">
      <c r="A3" s="103"/>
      <c r="B3" s="103"/>
      <c r="C3" s="103"/>
      <c r="D3" s="103"/>
      <c r="E3" s="103"/>
      <c r="F3" s="103"/>
    </row>
    <row r="4" spans="1:6" ht="13.5" thickBot="1">
      <c r="A4" s="103"/>
      <c r="B4" s="103"/>
      <c r="C4" s="103"/>
      <c r="D4" s="103"/>
      <c r="E4" s="103"/>
      <c r="F4" s="103"/>
    </row>
    <row r="5" spans="1:6" s="70" customFormat="1" ht="26.25">
      <c r="A5" s="105"/>
      <c r="B5" s="106" t="s">
        <v>181</v>
      </c>
      <c r="C5" s="106" t="s">
        <v>182</v>
      </c>
      <c r="D5" s="106" t="s">
        <v>166</v>
      </c>
      <c r="E5" s="79" t="s">
        <v>167</v>
      </c>
      <c r="F5" s="107" t="s">
        <v>183</v>
      </c>
    </row>
    <row r="6" spans="1:6" ht="12.75">
      <c r="A6" s="119" t="s">
        <v>203</v>
      </c>
      <c r="B6" s="108"/>
      <c r="C6" s="108"/>
      <c r="D6" s="108"/>
      <c r="E6" s="108"/>
      <c r="F6" s="109">
        <f>ROUND(B6*C6*D6*E6,2)</f>
        <v>0</v>
      </c>
    </row>
    <row r="7" spans="1:6" ht="12.75">
      <c r="A7" s="119" t="s">
        <v>204</v>
      </c>
      <c r="B7" s="108"/>
      <c r="C7" s="108"/>
      <c r="D7" s="108"/>
      <c r="E7" s="108"/>
      <c r="F7" s="109"/>
    </row>
    <row r="8" spans="1:6" ht="12.75" hidden="1">
      <c r="A8" s="80" t="s">
        <v>186</v>
      </c>
      <c r="B8" s="108"/>
      <c r="C8" s="108">
        <v>1</v>
      </c>
      <c r="D8" s="108">
        <v>1</v>
      </c>
      <c r="E8" s="108">
        <v>1.065</v>
      </c>
      <c r="F8" s="109">
        <f>ROUND(B8*C8*D8*E8,2)</f>
        <v>0</v>
      </c>
    </row>
    <row r="9" spans="1:6" ht="26.25" hidden="1">
      <c r="A9" s="80" t="s">
        <v>187</v>
      </c>
      <c r="B9" s="108"/>
      <c r="C9" s="108">
        <v>1</v>
      </c>
      <c r="D9" s="108">
        <v>12</v>
      </c>
      <c r="E9" s="108">
        <v>1</v>
      </c>
      <c r="F9" s="109">
        <f>ROUND(B9*C9*D9*E9,2)</f>
        <v>0</v>
      </c>
    </row>
    <row r="10" spans="1:6" ht="12.75" hidden="1">
      <c r="A10" s="110" t="s">
        <v>205</v>
      </c>
      <c r="B10" s="108"/>
      <c r="C10" s="108"/>
      <c r="D10" s="108"/>
      <c r="E10" s="108"/>
      <c r="F10" s="109">
        <f>SUM(F6:F9)</f>
        <v>0</v>
      </c>
    </row>
    <row r="11" spans="1:6" ht="12.75" hidden="1">
      <c r="A11" s="110" t="s">
        <v>189</v>
      </c>
      <c r="B11" s="108"/>
      <c r="C11" s="108">
        <v>1</v>
      </c>
      <c r="D11" s="108">
        <v>12</v>
      </c>
      <c r="E11" s="108">
        <v>1.065</v>
      </c>
      <c r="F11" s="109">
        <f>ROUND(B11*C11*D11*E11,2)</f>
        <v>0</v>
      </c>
    </row>
    <row r="12" spans="1:6" ht="39" hidden="1">
      <c r="A12" s="110" t="s">
        <v>190</v>
      </c>
      <c r="B12" s="108"/>
      <c r="C12" s="108">
        <v>1</v>
      </c>
      <c r="D12" s="108">
        <v>1</v>
      </c>
      <c r="E12" s="108">
        <v>1</v>
      </c>
      <c r="F12" s="109">
        <f>ROUND(B12*C12*D12*E12,2)</f>
        <v>0</v>
      </c>
    </row>
    <row r="13" spans="1:6" ht="12.75" hidden="1">
      <c r="A13" s="110"/>
      <c r="B13" s="108"/>
      <c r="C13" s="108"/>
      <c r="D13" s="108"/>
      <c r="E13" s="108"/>
      <c r="F13" s="109"/>
    </row>
    <row r="14" spans="1:6" ht="12.75" hidden="1">
      <c r="A14" s="110"/>
      <c r="B14" s="108"/>
      <c r="C14" s="108"/>
      <c r="D14" s="108"/>
      <c r="E14" s="108"/>
      <c r="F14" s="109"/>
    </row>
    <row r="15" spans="1:6" ht="12.75" hidden="1">
      <c r="A15" s="110"/>
      <c r="B15" s="108"/>
      <c r="C15" s="108"/>
      <c r="D15" s="108"/>
      <c r="E15" s="108"/>
      <c r="F15" s="109"/>
    </row>
    <row r="16" spans="1:6" ht="12.75" hidden="1">
      <c r="A16" s="110"/>
      <c r="B16" s="108"/>
      <c r="C16" s="108"/>
      <c r="D16" s="108"/>
      <c r="E16" s="108"/>
      <c r="F16" s="109"/>
    </row>
    <row r="17" spans="1:6" ht="12.75" hidden="1">
      <c r="A17" s="110"/>
      <c r="B17" s="108"/>
      <c r="C17" s="108"/>
      <c r="D17" s="108"/>
      <c r="E17" s="108"/>
      <c r="F17" s="109"/>
    </row>
    <row r="18" spans="1:6" ht="12.75" hidden="1">
      <c r="A18" s="110"/>
      <c r="B18" s="108"/>
      <c r="C18" s="108"/>
      <c r="D18" s="108"/>
      <c r="E18" s="108"/>
      <c r="F18" s="109"/>
    </row>
    <row r="19" spans="1:6" ht="12.75" hidden="1">
      <c r="A19" s="110"/>
      <c r="B19" s="108"/>
      <c r="C19" s="108"/>
      <c r="D19" s="108"/>
      <c r="E19" s="108"/>
      <c r="F19" s="109"/>
    </row>
    <row r="20" spans="1:6" ht="12.75" hidden="1">
      <c r="A20" s="110"/>
      <c r="B20" s="108"/>
      <c r="C20" s="108"/>
      <c r="D20" s="108"/>
      <c r="E20" s="108"/>
      <c r="F20" s="109"/>
    </row>
    <row r="21" spans="1:6" ht="12.75" hidden="1">
      <c r="A21" s="110"/>
      <c r="B21" s="108"/>
      <c r="C21" s="108"/>
      <c r="D21" s="108"/>
      <c r="E21" s="108"/>
      <c r="F21" s="109"/>
    </row>
    <row r="22" spans="1:6" ht="13.5" thickBot="1">
      <c r="A22" s="112"/>
      <c r="B22" s="113"/>
      <c r="C22" s="113"/>
      <c r="D22" s="113"/>
      <c r="E22" s="113"/>
      <c r="F22" s="114"/>
    </row>
    <row r="23" spans="1:6" ht="32.25" customHeight="1">
      <c r="A23" s="586" t="s">
        <v>206</v>
      </c>
      <c r="B23" s="595"/>
      <c r="C23" s="595"/>
      <c r="D23" s="595"/>
      <c r="E23" s="595"/>
      <c r="F23" s="595"/>
    </row>
    <row r="24" ht="13.5" thickBot="1">
      <c r="A24" s="70"/>
    </row>
    <row r="25" spans="1:6" ht="26.25">
      <c r="A25" s="105"/>
      <c r="B25" s="106" t="s">
        <v>181</v>
      </c>
      <c r="C25" s="106" t="s">
        <v>182</v>
      </c>
      <c r="D25" s="106" t="s">
        <v>166</v>
      </c>
      <c r="E25" s="79" t="s">
        <v>167</v>
      </c>
      <c r="F25" s="107" t="s">
        <v>183</v>
      </c>
    </row>
    <row r="26" spans="1:6" ht="12.75">
      <c r="A26" s="119" t="s">
        <v>207</v>
      </c>
      <c r="B26" s="108"/>
      <c r="C26" s="108"/>
      <c r="D26" s="108"/>
      <c r="E26" s="108"/>
      <c r="F26" s="109">
        <f>ROUND(B26*C26*D26*E26,2)</f>
        <v>0</v>
      </c>
    </row>
    <row r="27" spans="1:6" ht="12.75">
      <c r="A27" s="119" t="s">
        <v>208</v>
      </c>
      <c r="B27" s="108"/>
      <c r="C27" s="108"/>
      <c r="D27" s="108"/>
      <c r="E27" s="108"/>
      <c r="F27" s="109"/>
    </row>
    <row r="28" spans="1:6" ht="12.75">
      <c r="A28" s="119" t="s">
        <v>209</v>
      </c>
      <c r="B28" s="108"/>
      <c r="C28" s="108"/>
      <c r="D28" s="108"/>
      <c r="E28" s="108"/>
      <c r="F28" s="109">
        <f>ROUND(B28*C28*D28*E28,2)</f>
        <v>0</v>
      </c>
    </row>
    <row r="29" spans="1:6" ht="13.5" thickBot="1">
      <c r="A29" s="82" t="s">
        <v>170</v>
      </c>
      <c r="B29" s="113"/>
      <c r="C29" s="113"/>
      <c r="D29" s="113"/>
      <c r="E29" s="113"/>
      <c r="F29" s="114">
        <f>F26+F27+F28</f>
        <v>0</v>
      </c>
    </row>
    <row r="30" ht="12.75">
      <c r="A30" s="70"/>
    </row>
    <row r="31" ht="12.75">
      <c r="A31" s="70"/>
    </row>
    <row r="32" spans="1:6" ht="37.5" customHeight="1">
      <c r="A32" s="596" t="s">
        <v>210</v>
      </c>
      <c r="B32" s="597"/>
      <c r="C32" s="597"/>
      <c r="D32" s="597"/>
      <c r="E32" s="597"/>
      <c r="F32" s="598"/>
    </row>
    <row r="33" ht="12.75">
      <c r="A33" s="120"/>
    </row>
    <row r="34" ht="13.5" thickBot="1">
      <c r="A34" s="120"/>
    </row>
    <row r="35" spans="1:6" ht="66">
      <c r="A35" s="121"/>
      <c r="B35" s="106" t="s">
        <v>211</v>
      </c>
      <c r="C35" s="106" t="s">
        <v>212</v>
      </c>
      <c r="D35" s="106"/>
      <c r="E35" s="106"/>
      <c r="F35" s="107" t="s">
        <v>213</v>
      </c>
    </row>
    <row r="36" spans="1:6" ht="12.75">
      <c r="A36" s="119" t="s">
        <v>214</v>
      </c>
      <c r="B36" s="108"/>
      <c r="C36" s="108">
        <v>1</v>
      </c>
      <c r="D36" s="108"/>
      <c r="E36" s="108"/>
      <c r="F36" s="109">
        <f>ROUND(B36*C36,2)</f>
        <v>0</v>
      </c>
    </row>
    <row r="37" spans="1:6" ht="13.5" thickBot="1">
      <c r="A37" s="99"/>
      <c r="B37" s="113"/>
      <c r="C37" s="113"/>
      <c r="D37" s="113"/>
      <c r="E37" s="113"/>
      <c r="F37" s="114">
        <f>ROUND(B37*C37*D37*E37,2)</f>
        <v>0</v>
      </c>
    </row>
    <row r="40" spans="1:6" ht="18">
      <c r="A40" s="589" t="s">
        <v>215</v>
      </c>
      <c r="B40" s="590"/>
      <c r="C40" s="590"/>
      <c r="D40" s="590"/>
      <c r="E40" s="590"/>
      <c r="F40" s="590"/>
    </row>
    <row r="41" ht="13.5" thickBot="1"/>
    <row r="42" spans="1:6" ht="26.25">
      <c r="A42" s="105"/>
      <c r="B42" s="106" t="s">
        <v>181</v>
      </c>
      <c r="C42" s="106" t="s">
        <v>182</v>
      </c>
      <c r="D42" s="106" t="s">
        <v>166</v>
      </c>
      <c r="E42" s="79" t="s">
        <v>167</v>
      </c>
      <c r="F42" s="107" t="s">
        <v>183</v>
      </c>
    </row>
    <row r="43" spans="1:6" ht="12.75">
      <c r="A43" s="80"/>
      <c r="B43" s="108"/>
      <c r="C43" s="108"/>
      <c r="D43" s="108"/>
      <c r="E43" s="108"/>
      <c r="F43" s="109">
        <f>ROUND(B43*C43*D43*E43,2)</f>
        <v>0</v>
      </c>
    </row>
    <row r="44" spans="1:6" ht="12.75">
      <c r="A44" s="80"/>
      <c r="B44" s="108"/>
      <c r="C44" s="108"/>
      <c r="D44" s="108"/>
      <c r="E44" s="108"/>
      <c r="F44" s="109">
        <f>ROUND(B44*C44*D44*E44,2)</f>
        <v>0</v>
      </c>
    </row>
    <row r="45" spans="1:6" ht="13.5" thickBot="1">
      <c r="A45" s="82"/>
      <c r="B45" s="113"/>
      <c r="C45" s="113"/>
      <c r="D45" s="113"/>
      <c r="E45" s="113"/>
      <c r="F45" s="114">
        <f>ROUND(B45*C45*D45*E45,2)</f>
        <v>0</v>
      </c>
    </row>
    <row r="49" spans="1:10" s="76" customFormat="1" ht="12.75">
      <c r="A49" s="240" t="s">
        <v>399</v>
      </c>
      <c r="B49" s="240"/>
      <c r="C49" s="240"/>
      <c r="D49" s="240" t="s">
        <v>396</v>
      </c>
      <c r="E49" s="241"/>
      <c r="F49" s="240"/>
      <c r="G49" s="242"/>
      <c r="H49" s="75"/>
      <c r="I49" s="75"/>
      <c r="J49" s="75"/>
    </row>
    <row r="50" spans="5:10" s="76" customFormat="1" ht="12.75">
      <c r="E50" s="243"/>
      <c r="G50" s="242"/>
      <c r="H50" s="75"/>
      <c r="I50" s="75"/>
      <c r="J50" s="75"/>
    </row>
    <row r="51" spans="5:10" s="76" customFormat="1" ht="12.75">
      <c r="E51" s="243"/>
      <c r="G51" s="242"/>
      <c r="H51" s="75"/>
      <c r="I51" s="75"/>
      <c r="J51" s="75"/>
    </row>
    <row r="52" spans="1:10" s="76" customFormat="1" ht="12.75">
      <c r="A52" s="76" t="s">
        <v>155</v>
      </c>
      <c r="D52" s="76" t="s">
        <v>398</v>
      </c>
      <c r="E52" s="243"/>
      <c r="G52" s="242"/>
      <c r="H52" s="75"/>
      <c r="I52" s="75"/>
      <c r="J52" s="75"/>
    </row>
    <row r="53" spans="7:82" s="86" customFormat="1" ht="12.75"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</row>
  </sheetData>
  <sheetProtection/>
  <mergeCells count="5">
    <mergeCell ref="E1:F1"/>
    <mergeCell ref="A2:F2"/>
    <mergeCell ref="A23:F23"/>
    <mergeCell ref="A32:F32"/>
    <mergeCell ref="A40:F40"/>
  </mergeCells>
  <printOptions/>
  <pageMargins left="0" right="0" top="0.45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27.7109375" style="120" customWidth="1"/>
    <col min="2" max="2" width="10.00390625" style="120" customWidth="1"/>
    <col min="3" max="3" width="11.8515625" style="71" customWidth="1"/>
    <col min="4" max="4" width="13.57421875" style="71" customWidth="1"/>
    <col min="5" max="5" width="13.421875" style="71" customWidth="1"/>
    <col min="6" max="6" width="15.421875" style="71" customWidth="1"/>
    <col min="7" max="16384" width="9.140625" style="71" customWidth="1"/>
  </cols>
  <sheetData>
    <row r="1" ht="12.75">
      <c r="F1" s="102"/>
    </row>
    <row r="2" spans="1:6" ht="15.75">
      <c r="A2" s="599" t="s">
        <v>216</v>
      </c>
      <c r="B2" s="599"/>
      <c r="C2" s="599"/>
      <c r="D2" s="599"/>
      <c r="E2" s="599"/>
      <c r="F2" s="599"/>
    </row>
    <row r="4" ht="13.5" thickBot="1"/>
    <row r="5" spans="1:6" s="70" customFormat="1" ht="66">
      <c r="A5" s="121"/>
      <c r="B5" s="122" t="s">
        <v>217</v>
      </c>
      <c r="C5" s="106" t="s">
        <v>212</v>
      </c>
      <c r="D5" s="106" t="s">
        <v>218</v>
      </c>
      <c r="E5" s="106" t="s">
        <v>167</v>
      </c>
      <c r="F5" s="107" t="s">
        <v>219</v>
      </c>
    </row>
    <row r="6" spans="1:6" ht="12.75">
      <c r="A6" s="385" t="s">
        <v>220</v>
      </c>
      <c r="B6" s="386" t="s">
        <v>221</v>
      </c>
      <c r="C6" s="379">
        <v>1907</v>
      </c>
      <c r="D6" s="379">
        <v>18.42</v>
      </c>
      <c r="E6" s="379">
        <v>1</v>
      </c>
      <c r="F6" s="380">
        <f aca="true" t="shared" si="0" ref="F6:F18">ROUND(C6*D6*E6,2)</f>
        <v>35126.94</v>
      </c>
    </row>
    <row r="7" spans="1:6" ht="12.75">
      <c r="A7" s="385" t="s">
        <v>220</v>
      </c>
      <c r="B7" s="386" t="s">
        <v>221</v>
      </c>
      <c r="C7" s="379">
        <v>1450</v>
      </c>
      <c r="D7" s="379">
        <v>21.16</v>
      </c>
      <c r="E7" s="379">
        <v>1</v>
      </c>
      <c r="F7" s="380">
        <f t="shared" si="0"/>
        <v>30682</v>
      </c>
    </row>
    <row r="8" spans="1:6" ht="12.75">
      <c r="A8" s="385" t="s">
        <v>222</v>
      </c>
      <c r="B8" s="386" t="s">
        <v>221</v>
      </c>
      <c r="C8" s="379">
        <v>3177</v>
      </c>
      <c r="D8" s="379">
        <v>12.22</v>
      </c>
      <c r="E8" s="379">
        <v>1</v>
      </c>
      <c r="F8" s="380">
        <f>ROUND(C8*D8*E8,2)</f>
        <v>38822.94</v>
      </c>
    </row>
    <row r="9" spans="1:6" ht="12.75">
      <c r="A9" s="385" t="s">
        <v>222</v>
      </c>
      <c r="B9" s="386" t="s">
        <v>221</v>
      </c>
      <c r="C9" s="379">
        <v>2305</v>
      </c>
      <c r="D9" s="379">
        <v>14.04</v>
      </c>
      <c r="E9" s="379">
        <v>1</v>
      </c>
      <c r="F9" s="380">
        <f t="shared" si="0"/>
        <v>32362.2</v>
      </c>
    </row>
    <row r="10" spans="1:6" ht="12.75">
      <c r="A10" s="381" t="s">
        <v>156</v>
      </c>
      <c r="B10" s="382" t="s">
        <v>221</v>
      </c>
      <c r="C10" s="383"/>
      <c r="D10" s="383"/>
      <c r="E10" s="383">
        <v>1</v>
      </c>
      <c r="F10" s="384">
        <f t="shared" si="0"/>
        <v>0</v>
      </c>
    </row>
    <row r="11" spans="1:6" ht="12.75">
      <c r="A11" s="381" t="s">
        <v>156</v>
      </c>
      <c r="B11" s="382" t="s">
        <v>221</v>
      </c>
      <c r="C11" s="383">
        <v>1419.79</v>
      </c>
      <c r="D11" s="383">
        <v>108.24</v>
      </c>
      <c r="E11" s="383">
        <v>1</v>
      </c>
      <c r="F11" s="384">
        <f>ROUND(C11*D11*E11,2)</f>
        <v>153678.07</v>
      </c>
    </row>
    <row r="12" spans="1:6" ht="12.75">
      <c r="A12" s="381" t="s">
        <v>156</v>
      </c>
      <c r="B12" s="382" t="s">
        <v>221</v>
      </c>
      <c r="C12" s="383">
        <v>615.96</v>
      </c>
      <c r="D12" s="383">
        <v>119.78</v>
      </c>
      <c r="E12" s="383">
        <v>1</v>
      </c>
      <c r="F12" s="384">
        <f t="shared" si="0"/>
        <v>73779.69</v>
      </c>
    </row>
    <row r="13" spans="1:6" ht="12.75">
      <c r="A13" s="375" t="s">
        <v>223</v>
      </c>
      <c r="B13" s="376" t="s">
        <v>224</v>
      </c>
      <c r="C13" s="377">
        <v>354.42</v>
      </c>
      <c r="D13" s="377">
        <v>1482.5</v>
      </c>
      <c r="E13" s="377">
        <v>1</v>
      </c>
      <c r="F13" s="378">
        <f>ROUND(C13*D13*E13,2)</f>
        <v>525427.65</v>
      </c>
    </row>
    <row r="14" spans="1:6" ht="12.75">
      <c r="A14" s="375" t="s">
        <v>223</v>
      </c>
      <c r="B14" s="376" t="s">
        <v>224</v>
      </c>
      <c r="C14" s="377">
        <v>943.2</v>
      </c>
      <c r="D14" s="377">
        <v>1350.19</v>
      </c>
      <c r="E14" s="377">
        <v>1</v>
      </c>
      <c r="F14" s="378">
        <f t="shared" si="0"/>
        <v>1273499.21</v>
      </c>
    </row>
    <row r="15" spans="1:6" ht="12.75">
      <c r="A15" s="375" t="s">
        <v>223</v>
      </c>
      <c r="B15" s="376" t="s">
        <v>224</v>
      </c>
      <c r="C15" s="377"/>
      <c r="D15" s="377"/>
      <c r="E15" s="377">
        <v>1</v>
      </c>
      <c r="F15" s="378">
        <f>ROUND(C15*D15*E15,2)</f>
        <v>0</v>
      </c>
    </row>
    <row r="16" spans="1:6" ht="12.75">
      <c r="A16" s="98" t="s">
        <v>225</v>
      </c>
      <c r="B16" s="125" t="s">
        <v>226</v>
      </c>
      <c r="C16" s="123"/>
      <c r="D16" s="126">
        <v>693084.3</v>
      </c>
      <c r="E16" s="123">
        <v>1</v>
      </c>
      <c r="F16" s="124">
        <f>ROUND(D16*E16,2)</f>
        <v>693084.3</v>
      </c>
    </row>
    <row r="17" spans="1:6" ht="12.75">
      <c r="A17" s="98" t="s">
        <v>225</v>
      </c>
      <c r="B17" s="125" t="s">
        <v>226</v>
      </c>
      <c r="C17" s="123"/>
      <c r="D17" s="126"/>
      <c r="E17" s="123"/>
      <c r="F17" s="124">
        <f t="shared" si="0"/>
        <v>0</v>
      </c>
    </row>
    <row r="18" spans="1:6" ht="39.75" thickBot="1">
      <c r="A18" s="82" t="s">
        <v>227</v>
      </c>
      <c r="B18" s="127" t="s">
        <v>221</v>
      </c>
      <c r="C18" s="128"/>
      <c r="D18" s="128"/>
      <c r="E18" s="128"/>
      <c r="F18" s="124">
        <f t="shared" si="0"/>
        <v>0</v>
      </c>
    </row>
    <row r="20" ht="12.75">
      <c r="C20" s="129"/>
    </row>
    <row r="21" spans="3:6" ht="12.75">
      <c r="C21" s="129"/>
      <c r="F21" s="129"/>
    </row>
    <row r="22" ht="12.75">
      <c r="C22" s="129"/>
    </row>
    <row r="23" spans="1:10" s="76" customFormat="1" ht="12.75">
      <c r="A23" s="240" t="s">
        <v>399</v>
      </c>
      <c r="B23" s="240"/>
      <c r="C23" s="240"/>
      <c r="D23" s="240" t="s">
        <v>396</v>
      </c>
      <c r="E23" s="241"/>
      <c r="F23" s="240"/>
      <c r="G23" s="242"/>
      <c r="H23" s="75"/>
      <c r="I23" s="75"/>
      <c r="J23" s="75"/>
    </row>
    <row r="24" spans="5:10" s="76" customFormat="1" ht="12.75">
      <c r="E24" s="243"/>
      <c r="G24" s="242"/>
      <c r="H24" s="75"/>
      <c r="I24" s="75"/>
      <c r="J24" s="75"/>
    </row>
    <row r="25" spans="5:10" s="76" customFormat="1" ht="12.75">
      <c r="E25" s="243"/>
      <c r="G25" s="242"/>
      <c r="H25" s="75"/>
      <c r="I25" s="75"/>
      <c r="J25" s="75"/>
    </row>
    <row r="26" spans="1:10" s="76" customFormat="1" ht="12.75">
      <c r="A26" s="76" t="s">
        <v>155</v>
      </c>
      <c r="D26" s="76" t="s">
        <v>398</v>
      </c>
      <c r="E26" s="243"/>
      <c r="G26" s="242"/>
      <c r="H26" s="75"/>
      <c r="I26" s="75"/>
      <c r="J26" s="75"/>
    </row>
    <row r="27" spans="6:81" s="86" customFormat="1" ht="12.75"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</row>
  </sheetData>
  <sheetProtection/>
  <mergeCells count="1">
    <mergeCell ref="A2:F2"/>
  </mergeCells>
  <printOptions/>
  <pageMargins left="0" right="0" top="0.44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21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18.8515625" style="71" customWidth="1"/>
    <col min="2" max="2" width="15.7109375" style="71" customWidth="1"/>
    <col min="3" max="3" width="14.140625" style="71" customWidth="1"/>
    <col min="4" max="4" width="11.28125" style="71" customWidth="1"/>
    <col min="5" max="5" width="9.140625" style="71" customWidth="1"/>
    <col min="6" max="6" width="13.28125" style="71" customWidth="1"/>
    <col min="7" max="8" width="9.140625" style="71" customWidth="1"/>
    <col min="9" max="9" width="17.7109375" style="71" customWidth="1"/>
    <col min="10" max="16384" width="9.140625" style="71" customWidth="1"/>
  </cols>
  <sheetData>
    <row r="1" spans="5:6" ht="12.75">
      <c r="E1" s="594" t="s">
        <v>228</v>
      </c>
      <c r="F1" s="594"/>
    </row>
    <row r="2" spans="1:4" ht="18">
      <c r="A2" s="589" t="s">
        <v>229</v>
      </c>
      <c r="B2" s="594"/>
      <c r="C2" s="594"/>
      <c r="D2" s="594"/>
    </row>
    <row r="3" spans="1:4" ht="18">
      <c r="A3" s="115"/>
      <c r="B3" s="102"/>
      <c r="C3" s="102"/>
      <c r="D3" s="102"/>
    </row>
    <row r="4" spans="1:4" ht="18" thickBot="1">
      <c r="A4" s="115"/>
      <c r="B4" s="102"/>
      <c r="C4" s="102"/>
      <c r="D4" s="102"/>
    </row>
    <row r="5" spans="1:4" s="132" customFormat="1" ht="39" customHeight="1">
      <c r="A5" s="130"/>
      <c r="B5" s="79" t="s">
        <v>230</v>
      </c>
      <c r="C5" s="131" t="s">
        <v>231</v>
      </c>
      <c r="D5" s="89" t="s">
        <v>229</v>
      </c>
    </row>
    <row r="6" spans="1:9" ht="12.75">
      <c r="A6" s="117" t="s">
        <v>232</v>
      </c>
      <c r="B6" s="133">
        <v>30950045.45</v>
      </c>
      <c r="C6" s="134">
        <v>0.022</v>
      </c>
      <c r="D6" s="109">
        <f>ROUND(B6*C6,2)</f>
        <v>680901</v>
      </c>
      <c r="I6" s="133">
        <f>22961911.5+26152163.4</f>
        <v>49114074.9</v>
      </c>
    </row>
    <row r="7" spans="1:4" ht="12.75">
      <c r="A7" s="117" t="s">
        <v>233</v>
      </c>
      <c r="B7" s="406">
        <f>22961911.5+26152163.4</f>
        <v>49114074.9</v>
      </c>
      <c r="C7" s="134">
        <v>0.015</v>
      </c>
      <c r="D7" s="109">
        <f>ROUND(B7*C7/4*4,0)</f>
        <v>736711</v>
      </c>
    </row>
    <row r="8" spans="1:4" ht="12.75">
      <c r="A8" s="117"/>
      <c r="B8" s="133"/>
      <c r="C8" s="134"/>
      <c r="D8" s="109">
        <f>ROUND(B8*C8/4,0)</f>
        <v>0</v>
      </c>
    </row>
    <row r="9" spans="1:4" ht="12.75">
      <c r="A9" s="117" t="s">
        <v>234</v>
      </c>
      <c r="B9" s="133"/>
      <c r="C9" s="134"/>
      <c r="D9" s="135"/>
    </row>
    <row r="10" spans="1:4" ht="12.75">
      <c r="A10" s="117" t="s">
        <v>235</v>
      </c>
      <c r="B10" s="133"/>
      <c r="C10" s="134"/>
      <c r="D10" s="135"/>
    </row>
    <row r="11" spans="1:4" ht="13.5" thickBot="1">
      <c r="A11" s="118" t="s">
        <v>236</v>
      </c>
      <c r="B11" s="136"/>
      <c r="C11" s="113"/>
      <c r="D11" s="137">
        <v>10000</v>
      </c>
    </row>
    <row r="17" spans="1:10" s="76" customFormat="1" ht="12.75">
      <c r="A17" s="240" t="s">
        <v>399</v>
      </c>
      <c r="B17" s="240"/>
      <c r="C17" s="240"/>
      <c r="D17" s="240" t="s">
        <v>396</v>
      </c>
      <c r="E17" s="241"/>
      <c r="F17" s="240"/>
      <c r="G17" s="242"/>
      <c r="H17" s="75"/>
      <c r="I17" s="75"/>
      <c r="J17" s="75"/>
    </row>
    <row r="18" spans="5:10" s="76" customFormat="1" ht="12.75">
      <c r="E18" s="243"/>
      <c r="G18" s="242"/>
      <c r="H18" s="75"/>
      <c r="I18" s="75"/>
      <c r="J18" s="75"/>
    </row>
    <row r="19" spans="5:10" s="76" customFormat="1" ht="12.75">
      <c r="E19" s="243"/>
      <c r="G19" s="242"/>
      <c r="H19" s="75"/>
      <c r="I19" s="75"/>
      <c r="J19" s="75"/>
    </row>
    <row r="20" spans="1:10" s="76" customFormat="1" ht="12.75">
      <c r="A20" s="76" t="s">
        <v>155</v>
      </c>
      <c r="D20" s="76" t="s">
        <v>398</v>
      </c>
      <c r="E20" s="243"/>
      <c r="G20" s="242"/>
      <c r="H20" s="75"/>
      <c r="I20" s="75"/>
      <c r="J20" s="75"/>
    </row>
    <row r="21" spans="7:82" s="86" customFormat="1" ht="12.75"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</row>
  </sheetData>
  <sheetProtection/>
  <mergeCells count="2">
    <mergeCell ref="E1:F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9"/>
  <sheetViews>
    <sheetView zoomScalePageLayoutView="0" workbookViewId="0" topLeftCell="A128">
      <selection activeCell="R16" sqref="R16"/>
    </sheetView>
  </sheetViews>
  <sheetFormatPr defaultColWidth="9.140625" defaultRowHeight="15"/>
  <cols>
    <col min="1" max="1" width="29.00390625" style="86" customWidth="1"/>
    <col min="2" max="2" width="20.140625" style="86" customWidth="1"/>
    <col min="3" max="3" width="20.140625" style="86" hidden="1" customWidth="1"/>
    <col min="4" max="4" width="25.8515625" style="86" customWidth="1"/>
    <col min="5" max="5" width="12.00390625" style="86" hidden="1" customWidth="1"/>
    <col min="6" max="6" width="25.8515625" style="86" customWidth="1"/>
    <col min="7" max="9" width="18.421875" style="85" customWidth="1"/>
    <col min="10" max="82" width="9.140625" style="85" customWidth="1"/>
    <col min="83" max="16384" width="9.140625" style="86" customWidth="1"/>
  </cols>
  <sheetData>
    <row r="1" spans="1:6" ht="36.75" customHeight="1">
      <c r="A1" s="621" t="s">
        <v>237</v>
      </c>
      <c r="B1" s="621"/>
      <c r="C1" s="621"/>
      <c r="D1" s="621"/>
      <c r="E1" s="621"/>
      <c r="F1" s="621"/>
    </row>
    <row r="2" spans="1:16" ht="49.5" customHeight="1">
      <c r="A2" s="622" t="s">
        <v>403</v>
      </c>
      <c r="B2" s="622"/>
      <c r="C2" s="622"/>
      <c r="D2" s="622"/>
      <c r="E2" s="622"/>
      <c r="F2" s="622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6" ht="43.5" customHeight="1">
      <c r="A3" s="623" t="s">
        <v>126</v>
      </c>
      <c r="B3" s="623"/>
      <c r="C3" s="623"/>
      <c r="D3" s="623"/>
      <c r="E3" s="623"/>
      <c r="F3" s="623"/>
    </row>
    <row r="4" ht="8.25" customHeight="1"/>
    <row r="5" spans="1:6" ht="45" customHeight="1">
      <c r="A5" s="587" t="s">
        <v>238</v>
      </c>
      <c r="B5" s="624"/>
      <c r="C5" s="624"/>
      <c r="D5" s="624"/>
      <c r="E5" s="624"/>
      <c r="F5" s="624"/>
    </row>
    <row r="6" spans="1:6" ht="25.5" customHeight="1">
      <c r="A6" s="139" t="s">
        <v>239</v>
      </c>
      <c r="B6" s="140"/>
      <c r="C6" s="140"/>
      <c r="D6" s="141">
        <f>'мун.задание'!P67</f>
        <v>1290</v>
      </c>
      <c r="E6" s="140"/>
      <c r="F6" s="140"/>
    </row>
    <row r="7" ht="9" customHeight="1" thickBot="1"/>
    <row r="8" spans="1:6" ht="47.25" customHeight="1" thickBot="1">
      <c r="A8" s="142" t="s">
        <v>240</v>
      </c>
      <c r="B8" s="143" t="s">
        <v>16</v>
      </c>
      <c r="C8" s="143" t="s">
        <v>166</v>
      </c>
      <c r="D8" s="143" t="s">
        <v>241</v>
      </c>
      <c r="E8" s="143" t="s">
        <v>167</v>
      </c>
      <c r="F8" s="144" t="s">
        <v>242</v>
      </c>
    </row>
    <row r="9" spans="1:6" ht="36.75" customHeight="1" thickBot="1">
      <c r="A9" s="625" t="s">
        <v>243</v>
      </c>
      <c r="B9" s="619"/>
      <c r="C9" s="619"/>
      <c r="D9" s="619"/>
      <c r="E9" s="619"/>
      <c r="F9" s="626"/>
    </row>
    <row r="10" spans="1:8" ht="45.75" customHeight="1" thickBot="1">
      <c r="A10" s="145" t="s">
        <v>244</v>
      </c>
      <c r="B10" s="146" t="s">
        <v>245</v>
      </c>
      <c r="C10" s="147">
        <v>5</v>
      </c>
      <c r="D10" s="146">
        <f>ROUND(F10/D6,2)</f>
        <v>14476.09</v>
      </c>
      <c r="E10" s="146"/>
      <c r="F10" s="148">
        <f>F15+F20+F24</f>
        <v>18674155</v>
      </c>
      <c r="G10" s="342"/>
      <c r="H10" s="342"/>
    </row>
    <row r="11" spans="1:8" ht="56.25" customHeight="1">
      <c r="A11" s="149" t="s">
        <v>246</v>
      </c>
      <c r="B11" s="150" t="s">
        <v>245</v>
      </c>
      <c r="C11" s="151">
        <v>9</v>
      </c>
      <c r="D11" s="152">
        <f>ROUND(F11/D6,2)</f>
        <v>4371.78</v>
      </c>
      <c r="E11" s="150"/>
      <c r="F11" s="148">
        <f>F16+F21+F25</f>
        <v>5639595</v>
      </c>
      <c r="G11" s="342"/>
      <c r="H11" s="342"/>
    </row>
    <row r="12" spans="1:8" ht="48" customHeight="1">
      <c r="A12" s="154" t="s">
        <v>247</v>
      </c>
      <c r="B12" s="150" t="s">
        <v>245</v>
      </c>
      <c r="C12" s="150"/>
      <c r="D12" s="152">
        <f>ROUND(F12/D6,2)</f>
        <v>571.74</v>
      </c>
      <c r="E12" s="150"/>
      <c r="F12" s="153">
        <f>F17+F26</f>
        <v>737550</v>
      </c>
      <c r="G12" s="342"/>
      <c r="H12" s="342"/>
    </row>
    <row r="13" spans="1:82" s="158" customFormat="1" ht="18" customHeight="1" thickBot="1">
      <c r="A13" s="155" t="s">
        <v>248</v>
      </c>
      <c r="B13" s="156"/>
      <c r="C13" s="156"/>
      <c r="D13" s="156">
        <f>SUM(D10:E12)</f>
        <v>19419.61</v>
      </c>
      <c r="E13" s="156"/>
      <c r="F13" s="157">
        <f>SUM(F10:F12)</f>
        <v>25051300</v>
      </c>
      <c r="G13" s="342"/>
      <c r="H13" s="342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</row>
    <row r="14" spans="1:8" s="159" customFormat="1" ht="31.5" customHeight="1" thickBot="1">
      <c r="A14" s="612" t="s">
        <v>406</v>
      </c>
      <c r="B14" s="613"/>
      <c r="C14" s="613"/>
      <c r="D14" s="613"/>
      <c r="E14" s="613"/>
      <c r="F14" s="614"/>
      <c r="G14" s="342"/>
      <c r="H14" s="342"/>
    </row>
    <row r="15" spans="1:8" s="159" customFormat="1" ht="48.75" customHeight="1" thickBot="1">
      <c r="A15" s="145" t="s">
        <v>244</v>
      </c>
      <c r="B15" s="146" t="s">
        <v>245</v>
      </c>
      <c r="C15" s="147">
        <v>5</v>
      </c>
      <c r="D15" s="146">
        <f>ROUND(F15/D6,2)</f>
        <v>0</v>
      </c>
      <c r="E15" s="146"/>
      <c r="F15" s="148">
        <f>'пр.1+2 '!F9</f>
        <v>0</v>
      </c>
      <c r="G15" s="342"/>
      <c r="H15" s="342"/>
    </row>
    <row r="16" spans="1:8" s="159" customFormat="1" ht="36" customHeight="1" thickBot="1">
      <c r="A16" s="149" t="s">
        <v>246</v>
      </c>
      <c r="B16" s="150" t="s">
        <v>245</v>
      </c>
      <c r="C16" s="151">
        <v>9</v>
      </c>
      <c r="D16" s="146">
        <f>ROUND(F16/D6,2)</f>
        <v>0</v>
      </c>
      <c r="E16" s="150"/>
      <c r="F16" s="153">
        <f>'пр.1+2 '!G9</f>
        <v>0</v>
      </c>
      <c r="G16" s="342"/>
      <c r="H16" s="342"/>
    </row>
    <row r="17" spans="1:8" s="159" customFormat="1" ht="21.75" customHeight="1">
      <c r="A17" s="154" t="s">
        <v>247</v>
      </c>
      <c r="B17" s="150" t="s">
        <v>245</v>
      </c>
      <c r="C17" s="150"/>
      <c r="D17" s="146">
        <f>ROUND(F17/D6,2)</f>
        <v>0</v>
      </c>
      <c r="E17" s="150"/>
      <c r="F17" s="160">
        <f>'пр.1+2 '!D13</f>
        <v>0</v>
      </c>
      <c r="G17" s="342"/>
      <c r="H17" s="342"/>
    </row>
    <row r="18" spans="1:8" s="159" customFormat="1" ht="21.75" customHeight="1" thickBot="1">
      <c r="A18" s="155" t="s">
        <v>248</v>
      </c>
      <c r="B18" s="156"/>
      <c r="C18" s="156"/>
      <c r="D18" s="156">
        <f>SUM(D15:D17)</f>
        <v>0</v>
      </c>
      <c r="E18" s="156"/>
      <c r="F18" s="157">
        <f>SUM(F15:F17)</f>
        <v>0</v>
      </c>
      <c r="G18" s="342"/>
      <c r="H18" s="342"/>
    </row>
    <row r="19" spans="1:8" s="159" customFormat="1" ht="31.5" customHeight="1" thickBot="1">
      <c r="A19" s="612" t="s">
        <v>249</v>
      </c>
      <c r="B19" s="613"/>
      <c r="C19" s="613"/>
      <c r="D19" s="613"/>
      <c r="E19" s="613"/>
      <c r="F19" s="614"/>
      <c r="G19" s="342"/>
      <c r="H19" s="342"/>
    </row>
    <row r="20" spans="1:8" s="159" customFormat="1" ht="48.75" customHeight="1" thickBot="1">
      <c r="A20" s="145" t="s">
        <v>244</v>
      </c>
      <c r="B20" s="146" t="s">
        <v>245</v>
      </c>
      <c r="C20" s="147">
        <v>5</v>
      </c>
      <c r="D20" s="146">
        <f>ROUND(F20/D6,2)</f>
        <v>0</v>
      </c>
      <c r="E20" s="146"/>
      <c r="F20" s="148">
        <f>'пр.1+2 '!D22</f>
        <v>0</v>
      </c>
      <c r="G20" s="342"/>
      <c r="H20" s="342"/>
    </row>
    <row r="21" spans="1:8" s="159" customFormat="1" ht="36" customHeight="1">
      <c r="A21" s="149" t="s">
        <v>246</v>
      </c>
      <c r="B21" s="150" t="s">
        <v>245</v>
      </c>
      <c r="C21" s="151">
        <v>9</v>
      </c>
      <c r="D21" s="146">
        <f>ROUND(F21/D6,2)</f>
        <v>0</v>
      </c>
      <c r="E21" s="150"/>
      <c r="F21" s="153">
        <f>'пр.1+2 '!E22</f>
        <v>0</v>
      </c>
      <c r="G21" s="342"/>
      <c r="H21" s="342"/>
    </row>
    <row r="22" spans="1:8" s="159" customFormat="1" ht="21.75" customHeight="1" thickBot="1">
      <c r="A22" s="155" t="s">
        <v>248</v>
      </c>
      <c r="B22" s="156"/>
      <c r="C22" s="156"/>
      <c r="D22" s="156">
        <f>D20+D21</f>
        <v>0</v>
      </c>
      <c r="E22" s="156"/>
      <c r="F22" s="157">
        <f>SUM(F20:F21)</f>
        <v>0</v>
      </c>
      <c r="G22" s="342"/>
      <c r="H22" s="342"/>
    </row>
    <row r="23" spans="1:8" s="159" customFormat="1" ht="36.75" customHeight="1" thickBot="1">
      <c r="A23" s="615" t="s">
        <v>407</v>
      </c>
      <c r="B23" s="616"/>
      <c r="C23" s="616"/>
      <c r="D23" s="616"/>
      <c r="E23" s="616"/>
      <c r="F23" s="617"/>
      <c r="G23" s="342"/>
      <c r="H23" s="342"/>
    </row>
    <row r="24" spans="1:8" s="159" customFormat="1" ht="47.25" customHeight="1" thickBot="1">
      <c r="A24" s="145" t="s">
        <v>244</v>
      </c>
      <c r="B24" s="146" t="s">
        <v>245</v>
      </c>
      <c r="C24" s="147">
        <v>5</v>
      </c>
      <c r="D24" s="146">
        <f>ROUND(F24/D6,2)</f>
        <v>14476.09</v>
      </c>
      <c r="E24" s="146"/>
      <c r="F24" s="148">
        <f>'пр.1+2 '!F31</f>
        <v>18674155</v>
      </c>
      <c r="G24" s="342"/>
      <c r="H24" s="342"/>
    </row>
    <row r="25" spans="1:8" s="159" customFormat="1" ht="47.25" customHeight="1" thickBot="1">
      <c r="A25" s="149" t="s">
        <v>246</v>
      </c>
      <c r="B25" s="150" t="s">
        <v>245</v>
      </c>
      <c r="C25" s="151">
        <v>9</v>
      </c>
      <c r="D25" s="146">
        <f>ROUND(F25/D6,2)</f>
        <v>4371.78</v>
      </c>
      <c r="E25" s="150"/>
      <c r="F25" s="153">
        <f>'пр.1+2 '!G31</f>
        <v>5639595</v>
      </c>
      <c r="G25" s="342"/>
      <c r="H25" s="342"/>
    </row>
    <row r="26" spans="1:8" s="159" customFormat="1" ht="47.25" customHeight="1">
      <c r="A26" s="154" t="s">
        <v>247</v>
      </c>
      <c r="B26" s="150" t="s">
        <v>245</v>
      </c>
      <c r="C26" s="150"/>
      <c r="D26" s="146">
        <f>ROUND(F26/D6,2)</f>
        <v>571.74</v>
      </c>
      <c r="E26" s="150"/>
      <c r="F26" s="160">
        <f>SUM('пр.1+2 '!D35:E39)</f>
        <v>737550</v>
      </c>
      <c r="G26" s="342"/>
      <c r="H26" s="342"/>
    </row>
    <row r="27" spans="1:8" s="159" customFormat="1" ht="21.75" customHeight="1" thickBot="1">
      <c r="A27" s="155" t="s">
        <v>248</v>
      </c>
      <c r="B27" s="156"/>
      <c r="C27" s="156"/>
      <c r="D27" s="157">
        <f>SUM(D24:D26)</f>
        <v>19419.61</v>
      </c>
      <c r="E27" s="157">
        <f>SUM(E24:E26)</f>
        <v>0</v>
      </c>
      <c r="F27" s="157">
        <f>SUM(F24:F26)</f>
        <v>25051300</v>
      </c>
      <c r="G27" s="342"/>
      <c r="H27" s="342"/>
    </row>
    <row r="28" spans="1:8" s="85" customFormat="1" ht="21" customHeight="1">
      <c r="A28" s="618" t="s">
        <v>250</v>
      </c>
      <c r="B28" s="619"/>
      <c r="C28" s="619"/>
      <c r="D28" s="619"/>
      <c r="E28" s="619"/>
      <c r="F28" s="619"/>
      <c r="G28" s="342"/>
      <c r="H28" s="342"/>
    </row>
    <row r="29" spans="1:8" ht="33.75" customHeight="1" thickBot="1">
      <c r="A29" s="620" t="s">
        <v>251</v>
      </c>
      <c r="B29" s="613"/>
      <c r="C29" s="613"/>
      <c r="D29" s="613"/>
      <c r="E29" s="613"/>
      <c r="F29" s="613"/>
      <c r="G29" s="342"/>
      <c r="H29" s="342"/>
    </row>
    <row r="30" spans="1:8" ht="43.5" customHeight="1">
      <c r="A30" s="145" t="s">
        <v>252</v>
      </c>
      <c r="B30" s="146" t="s">
        <v>245</v>
      </c>
      <c r="C30" s="146">
        <v>5</v>
      </c>
      <c r="D30" s="146">
        <f aca="true" t="shared" si="0" ref="D30:F32">D36+D41</f>
        <v>8449.279999999999</v>
      </c>
      <c r="E30" s="146">
        <f t="shared" si="0"/>
        <v>2</v>
      </c>
      <c r="F30" s="251">
        <f t="shared" si="0"/>
        <v>10899577</v>
      </c>
      <c r="G30" s="342"/>
      <c r="H30" s="342"/>
    </row>
    <row r="31" spans="1:8" ht="48" customHeight="1" hidden="1">
      <c r="A31" s="149" t="s">
        <v>252</v>
      </c>
      <c r="B31" s="150" t="s">
        <v>245</v>
      </c>
      <c r="C31" s="150">
        <v>4</v>
      </c>
      <c r="D31" s="150">
        <f t="shared" si="0"/>
        <v>0</v>
      </c>
      <c r="E31" s="150">
        <f t="shared" si="0"/>
        <v>0</v>
      </c>
      <c r="F31" s="171">
        <f t="shared" si="0"/>
        <v>0</v>
      </c>
      <c r="G31" s="342"/>
      <c r="H31" s="342"/>
    </row>
    <row r="32" spans="1:8" ht="57" customHeight="1">
      <c r="A32" s="149" t="s">
        <v>253</v>
      </c>
      <c r="B32" s="150" t="s">
        <v>245</v>
      </c>
      <c r="C32" s="150">
        <v>9</v>
      </c>
      <c r="D32" s="150">
        <f>D38+D43</f>
        <v>2551.69</v>
      </c>
      <c r="E32" s="150">
        <f t="shared" si="0"/>
        <v>2</v>
      </c>
      <c r="F32" s="252">
        <f t="shared" si="0"/>
        <v>3291672</v>
      </c>
      <c r="G32" s="342"/>
      <c r="H32" s="342"/>
    </row>
    <row r="33" spans="1:8" ht="26.25" customHeight="1">
      <c r="A33" s="149" t="s">
        <v>140</v>
      </c>
      <c r="B33" s="150" t="s">
        <v>245</v>
      </c>
      <c r="C33" s="150">
        <v>12</v>
      </c>
      <c r="D33" s="150">
        <f>D44</f>
        <v>0.93</v>
      </c>
      <c r="E33" s="150" t="e">
        <f>#REF!+E44</f>
        <v>#REF!</v>
      </c>
      <c r="F33" s="160">
        <f>F44</f>
        <v>1200</v>
      </c>
      <c r="G33" s="342"/>
      <c r="H33" s="342"/>
    </row>
    <row r="34" spans="1:82" s="158" customFormat="1" ht="26.25" customHeight="1" thickBot="1">
      <c r="A34" s="162" t="s">
        <v>248</v>
      </c>
      <c r="B34" s="156"/>
      <c r="C34" s="156"/>
      <c r="D34" s="250">
        <f>SUM(D30:D33)</f>
        <v>11001.9</v>
      </c>
      <c r="E34" s="156"/>
      <c r="F34" s="157">
        <f>SUM(F30:F33)</f>
        <v>14192449</v>
      </c>
      <c r="G34" s="342"/>
      <c r="H34" s="34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</row>
    <row r="35" spans="1:8" ht="48" customHeight="1" thickBot="1">
      <c r="A35" s="620" t="s">
        <v>254</v>
      </c>
      <c r="B35" s="613"/>
      <c r="C35" s="613"/>
      <c r="D35" s="613"/>
      <c r="E35" s="613"/>
      <c r="F35" s="613"/>
      <c r="G35" s="342"/>
      <c r="H35" s="342"/>
    </row>
    <row r="36" spans="1:8" ht="43.5" customHeight="1" thickBot="1">
      <c r="A36" s="145" t="s">
        <v>252</v>
      </c>
      <c r="B36" s="146" t="s">
        <v>245</v>
      </c>
      <c r="C36" s="146">
        <v>5</v>
      </c>
      <c r="D36" s="146">
        <f>ROUND(F36/D6,2)</f>
        <v>6408.07</v>
      </c>
      <c r="E36" s="146">
        <v>1</v>
      </c>
      <c r="F36" s="146">
        <f>'пр.1+2 '!F70</f>
        <v>8266414</v>
      </c>
      <c r="G36" s="342"/>
      <c r="H36" s="342"/>
    </row>
    <row r="37" spans="1:8" ht="48" customHeight="1" hidden="1">
      <c r="A37" s="161" t="s">
        <v>252</v>
      </c>
      <c r="B37" s="150" t="s">
        <v>245</v>
      </c>
      <c r="C37" s="151">
        <v>4</v>
      </c>
      <c r="D37" s="152"/>
      <c r="E37" s="150"/>
      <c r="F37" s="160"/>
      <c r="G37" s="342"/>
      <c r="H37" s="342"/>
    </row>
    <row r="38" spans="1:8" ht="58.5" customHeight="1">
      <c r="A38" s="161" t="s">
        <v>253</v>
      </c>
      <c r="B38" s="150" t="s">
        <v>245</v>
      </c>
      <c r="C38" s="151">
        <v>9</v>
      </c>
      <c r="D38" s="152">
        <f>ROUND(F38/D6,2)</f>
        <v>1935.24</v>
      </c>
      <c r="E38" s="150">
        <v>1</v>
      </c>
      <c r="F38" s="146">
        <f>'пр.1+2 '!G70</f>
        <v>2496457</v>
      </c>
      <c r="G38" s="342"/>
      <c r="H38" s="342"/>
    </row>
    <row r="39" spans="1:82" s="158" customFormat="1" ht="26.25" customHeight="1" thickBot="1">
      <c r="A39" s="162" t="s">
        <v>248</v>
      </c>
      <c r="B39" s="156"/>
      <c r="C39" s="156"/>
      <c r="D39" s="157">
        <f>SUM(D36:D38)</f>
        <v>8343.31</v>
      </c>
      <c r="E39" s="156"/>
      <c r="F39" s="157">
        <f>SUM(F36:F38)</f>
        <v>10762871</v>
      </c>
      <c r="G39" s="342"/>
      <c r="H39" s="342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</row>
    <row r="40" spans="1:8" ht="48" customHeight="1" thickBot="1">
      <c r="A40" s="620" t="s">
        <v>255</v>
      </c>
      <c r="B40" s="613"/>
      <c r="C40" s="613"/>
      <c r="D40" s="613"/>
      <c r="E40" s="613"/>
      <c r="F40" s="613"/>
      <c r="G40" s="342"/>
      <c r="H40" s="342"/>
    </row>
    <row r="41" spans="1:8" ht="43.5" customHeight="1">
      <c r="A41" s="145" t="s">
        <v>252</v>
      </c>
      <c r="B41" s="146" t="s">
        <v>245</v>
      </c>
      <c r="C41" s="146">
        <v>5</v>
      </c>
      <c r="D41" s="146">
        <f>ROUND(F41/D6,2)</f>
        <v>2041.21</v>
      </c>
      <c r="E41" s="146">
        <v>1</v>
      </c>
      <c r="F41" s="148">
        <f>'пр.1+2 '!F56</f>
        <v>2633163</v>
      </c>
      <c r="G41" s="342"/>
      <c r="H41" s="342"/>
    </row>
    <row r="42" spans="1:8" ht="48" customHeight="1" hidden="1">
      <c r="A42" s="161" t="s">
        <v>252</v>
      </c>
      <c r="B42" s="150" t="s">
        <v>245</v>
      </c>
      <c r="C42" s="151">
        <v>4</v>
      </c>
      <c r="D42" s="152"/>
      <c r="E42" s="150"/>
      <c r="F42" s="160"/>
      <c r="G42" s="342"/>
      <c r="H42" s="342"/>
    </row>
    <row r="43" spans="1:8" ht="57.75" customHeight="1">
      <c r="A43" s="161" t="s">
        <v>253</v>
      </c>
      <c r="B43" s="150" t="s">
        <v>245</v>
      </c>
      <c r="C43" s="151">
        <v>9</v>
      </c>
      <c r="D43" s="152">
        <f>ROUND(F43/D6,2)</f>
        <v>616.45</v>
      </c>
      <c r="E43" s="150">
        <v>1</v>
      </c>
      <c r="F43" s="160">
        <f>'пр.1+2 '!G56</f>
        <v>795215</v>
      </c>
      <c r="G43" s="342"/>
      <c r="H43" s="342"/>
    </row>
    <row r="44" spans="1:8" ht="26.25" customHeight="1">
      <c r="A44" s="149" t="s">
        <v>140</v>
      </c>
      <c r="B44" s="150" t="s">
        <v>245</v>
      </c>
      <c r="C44" s="151">
        <v>12</v>
      </c>
      <c r="D44" s="152">
        <f>ROUND(F44/D6,2)</f>
        <v>0.93</v>
      </c>
      <c r="E44" s="150">
        <v>1</v>
      </c>
      <c r="F44" s="160">
        <f>'пр.1+2 '!D60+'пр.1+2 '!D59</f>
        <v>1200</v>
      </c>
      <c r="G44" s="342"/>
      <c r="H44" s="342"/>
    </row>
    <row r="45" spans="1:82" s="158" customFormat="1" ht="20.25" customHeight="1" thickBot="1">
      <c r="A45" s="162" t="s">
        <v>248</v>
      </c>
      <c r="B45" s="156"/>
      <c r="C45" s="156"/>
      <c r="D45" s="157">
        <f>SUM(D41:D44)</f>
        <v>2658.5899999999997</v>
      </c>
      <c r="E45" s="156"/>
      <c r="F45" s="157">
        <f>SUM(F41:F44)</f>
        <v>3429578</v>
      </c>
      <c r="G45" s="342"/>
      <c r="H45" s="342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</row>
    <row r="46" spans="1:8" ht="21.75" customHeight="1" thickBot="1">
      <c r="A46" s="163" t="s">
        <v>256</v>
      </c>
      <c r="B46" s="163"/>
      <c r="C46" s="163"/>
      <c r="D46" s="163"/>
      <c r="E46" s="163"/>
      <c r="F46" s="163"/>
      <c r="G46" s="342"/>
      <c r="H46" s="342"/>
    </row>
    <row r="47" spans="1:8" ht="12.75">
      <c r="A47" s="88" t="s">
        <v>143</v>
      </c>
      <c r="B47" s="146" t="s">
        <v>245</v>
      </c>
      <c r="C47" s="146">
        <v>12</v>
      </c>
      <c r="D47" s="146">
        <f>ROUND(F47/D6,2)</f>
        <v>87.6</v>
      </c>
      <c r="E47" s="146"/>
      <c r="F47" s="148">
        <f>'пр.3'!F6+'пр.3'!F7</f>
        <v>113002.56</v>
      </c>
      <c r="G47" s="342"/>
      <c r="H47" s="342"/>
    </row>
    <row r="48" spans="1:8" ht="12.75">
      <c r="A48" s="80" t="s">
        <v>144</v>
      </c>
      <c r="B48" s="150" t="s">
        <v>245</v>
      </c>
      <c r="C48" s="150">
        <v>12</v>
      </c>
      <c r="D48" s="152">
        <f>ROUND(F48/D6,2)</f>
        <v>4.78</v>
      </c>
      <c r="E48" s="150"/>
      <c r="F48" s="160">
        <f>'пр.3'!F8+'пр.3'!F9</f>
        <v>6164.4</v>
      </c>
      <c r="G48" s="342"/>
      <c r="H48" s="342"/>
    </row>
    <row r="49" spans="1:8" ht="12.75">
      <c r="A49" s="80" t="s">
        <v>145</v>
      </c>
      <c r="B49" s="150" t="s">
        <v>245</v>
      </c>
      <c r="C49" s="150">
        <v>12</v>
      </c>
      <c r="D49" s="152">
        <f>ROUND(F49/D6,2)</f>
        <v>18.65</v>
      </c>
      <c r="E49" s="150"/>
      <c r="F49" s="160">
        <f>'пр.3'!F10</f>
        <v>24064</v>
      </c>
      <c r="G49" s="342"/>
      <c r="H49" s="342"/>
    </row>
    <row r="50" spans="1:8" ht="26.25">
      <c r="A50" s="80" t="s">
        <v>146</v>
      </c>
      <c r="B50" s="150" t="s">
        <v>245</v>
      </c>
      <c r="C50" s="150">
        <v>12</v>
      </c>
      <c r="D50" s="152">
        <f>ROUND(F50/D6,2)</f>
        <v>54.03</v>
      </c>
      <c r="E50" s="150"/>
      <c r="F50" s="160">
        <f>'пр.3'!F11</f>
        <v>69696</v>
      </c>
      <c r="G50" s="342"/>
      <c r="H50" s="342"/>
    </row>
    <row r="51" spans="1:8" ht="12.75">
      <c r="A51" s="80" t="s">
        <v>147</v>
      </c>
      <c r="B51" s="150" t="s">
        <v>245</v>
      </c>
      <c r="C51" s="150">
        <v>12</v>
      </c>
      <c r="D51" s="152">
        <f>ROUND(F51/D6,2)</f>
        <v>18.61</v>
      </c>
      <c r="E51" s="150"/>
      <c r="F51" s="160">
        <f>'пр.3'!F14</f>
        <v>24002.4</v>
      </c>
      <c r="G51" s="342"/>
      <c r="H51" s="342"/>
    </row>
    <row r="52" spans="1:8" ht="26.25" hidden="1">
      <c r="A52" s="80" t="s">
        <v>148</v>
      </c>
      <c r="B52" s="150" t="s">
        <v>245</v>
      </c>
      <c r="C52" s="150">
        <v>12</v>
      </c>
      <c r="D52" s="152">
        <f>ROUND(F52/D6,2)</f>
        <v>1.57</v>
      </c>
      <c r="E52" s="150"/>
      <c r="F52" s="160">
        <f>'пр.3'!F15</f>
        <v>2030</v>
      </c>
      <c r="G52" s="342"/>
      <c r="H52" s="342"/>
    </row>
    <row r="53" spans="1:8" ht="26.25" hidden="1">
      <c r="A53" s="80" t="s">
        <v>188</v>
      </c>
      <c r="B53" s="150" t="s">
        <v>245</v>
      </c>
      <c r="C53" s="150">
        <v>12</v>
      </c>
      <c r="D53" s="152">
        <f>ROUND(F53/D6,2)</f>
        <v>6.2</v>
      </c>
      <c r="E53" s="150"/>
      <c r="F53" s="160">
        <f>'пр.3'!F12</f>
        <v>8000</v>
      </c>
      <c r="G53" s="342"/>
      <c r="H53" s="342"/>
    </row>
    <row r="54" spans="1:8" ht="12.75">
      <c r="A54" s="80" t="str">
        <f>'пр.3'!A13</f>
        <v>огнезащитная обработка</v>
      </c>
      <c r="B54" s="150" t="s">
        <v>245</v>
      </c>
      <c r="C54" s="150">
        <v>12</v>
      </c>
      <c r="D54" s="152">
        <f>ROUND(F54/D6,2)</f>
        <v>9.77</v>
      </c>
      <c r="E54" s="150"/>
      <c r="F54" s="160">
        <f>'пр.3'!F13</f>
        <v>12600</v>
      </c>
      <c r="G54" s="342"/>
      <c r="H54" s="342"/>
    </row>
    <row r="55" spans="1:8" ht="26.25">
      <c r="A55" s="80" t="s">
        <v>191</v>
      </c>
      <c r="B55" s="150" t="s">
        <v>245</v>
      </c>
      <c r="C55" s="150"/>
      <c r="D55" s="152">
        <f>ROUND(F55/D6,2)</f>
        <v>20.47</v>
      </c>
      <c r="E55" s="150"/>
      <c r="F55" s="160">
        <f>'пр.3'!F16</f>
        <v>26400</v>
      </c>
      <c r="G55" s="342"/>
      <c r="H55" s="342"/>
    </row>
    <row r="56" spans="1:8" ht="12.75">
      <c r="A56" s="80" t="s">
        <v>193</v>
      </c>
      <c r="B56" s="150" t="s">
        <v>245</v>
      </c>
      <c r="C56" s="150"/>
      <c r="D56" s="152">
        <f>ROUND(F56/D6,2)</f>
        <v>44.8</v>
      </c>
      <c r="E56" s="150"/>
      <c r="F56" s="160">
        <f>'пр.3'!F18</f>
        <v>57789.04</v>
      </c>
      <c r="G56" s="342"/>
      <c r="H56" s="342"/>
    </row>
    <row r="57" spans="1:8" ht="12.75">
      <c r="A57" s="80" t="s">
        <v>192</v>
      </c>
      <c r="B57" s="150" t="s">
        <v>245</v>
      </c>
      <c r="C57" s="150"/>
      <c r="D57" s="152">
        <f>ROUND(F57/D6,2)</f>
        <v>27.91</v>
      </c>
      <c r="E57" s="150"/>
      <c r="F57" s="160">
        <f>'пр.3'!F17</f>
        <v>36000</v>
      </c>
      <c r="G57" s="342"/>
      <c r="H57" s="342"/>
    </row>
    <row r="58" spans="1:8" ht="12.75" hidden="1">
      <c r="A58" s="80"/>
      <c r="B58" s="150"/>
      <c r="C58" s="150"/>
      <c r="D58" s="152"/>
      <c r="E58" s="150"/>
      <c r="F58" s="160"/>
      <c r="G58" s="342"/>
      <c r="H58" s="342"/>
    </row>
    <row r="59" spans="1:8" ht="12.75" hidden="1">
      <c r="A59" s="164"/>
      <c r="B59" s="165"/>
      <c r="C59" s="165"/>
      <c r="D59" s="150"/>
      <c r="E59" s="150"/>
      <c r="F59" s="160"/>
      <c r="G59" s="342"/>
      <c r="H59" s="342"/>
    </row>
    <row r="60" spans="1:82" s="158" customFormat="1" ht="13.5" thickBot="1">
      <c r="A60" s="166" t="s">
        <v>248</v>
      </c>
      <c r="B60" s="167"/>
      <c r="C60" s="167"/>
      <c r="D60" s="157">
        <f>SUM(D47:D59)</f>
        <v>294.39000000000004</v>
      </c>
      <c r="E60" s="156"/>
      <c r="F60" s="157">
        <f>SUM(F47:F59)</f>
        <v>379748.39999999997</v>
      </c>
      <c r="G60" s="342"/>
      <c r="H60" s="342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</row>
    <row r="61" spans="1:8" ht="18" customHeight="1" thickBot="1">
      <c r="A61" s="604" t="s">
        <v>257</v>
      </c>
      <c r="B61" s="604"/>
      <c r="C61" s="604"/>
      <c r="D61" s="604"/>
      <c r="E61" s="604"/>
      <c r="F61" s="604"/>
      <c r="G61" s="342"/>
      <c r="H61" s="342"/>
    </row>
    <row r="62" spans="1:8" ht="13.5" thickBot="1">
      <c r="A62" s="168" t="s">
        <v>141</v>
      </c>
      <c r="B62" s="146" t="s">
        <v>245</v>
      </c>
      <c r="C62" s="146">
        <v>12</v>
      </c>
      <c r="D62" s="146">
        <f>ROUND(F62/D6,2)</f>
        <v>22.83</v>
      </c>
      <c r="E62" s="146"/>
      <c r="F62" s="169">
        <f>'пр.3'!F25+'пр.3'!F26+'пр.3'!F33+'пр.3'!F27+'пр.3'!F28+'пр.3'!F29+'пр.3'!F30+'пр.3'!F31+'пр.3'!F32</f>
        <v>29449</v>
      </c>
      <c r="G62" s="342"/>
      <c r="H62" s="342"/>
    </row>
    <row r="63" spans="1:8" ht="39.75" hidden="1" thickBot="1">
      <c r="A63" s="164" t="s">
        <v>258</v>
      </c>
      <c r="B63" s="165"/>
      <c r="C63" s="165"/>
      <c r="D63" s="165"/>
      <c r="E63" s="165"/>
      <c r="F63" s="170"/>
      <c r="G63" s="342"/>
      <c r="H63" s="342"/>
    </row>
    <row r="64" spans="1:8" ht="27" hidden="1" thickBot="1">
      <c r="A64" s="164" t="s">
        <v>259</v>
      </c>
      <c r="B64" s="165"/>
      <c r="C64" s="165"/>
      <c r="D64" s="165"/>
      <c r="E64" s="165"/>
      <c r="F64" s="170"/>
      <c r="G64" s="342"/>
      <c r="H64" s="342"/>
    </row>
    <row r="65" spans="1:8" ht="39.75" hidden="1" thickBot="1">
      <c r="A65" s="164" t="s">
        <v>260</v>
      </c>
      <c r="B65" s="165"/>
      <c r="C65" s="165"/>
      <c r="D65" s="165"/>
      <c r="E65" s="165"/>
      <c r="F65" s="170"/>
      <c r="G65" s="342"/>
      <c r="H65" s="342"/>
    </row>
    <row r="66" spans="1:8" ht="27" hidden="1" thickBot="1">
      <c r="A66" s="164" t="s">
        <v>261</v>
      </c>
      <c r="B66" s="165"/>
      <c r="C66" s="165"/>
      <c r="D66" s="165"/>
      <c r="E66" s="165"/>
      <c r="F66" s="170"/>
      <c r="G66" s="342"/>
      <c r="H66" s="342"/>
    </row>
    <row r="67" spans="1:8" ht="39.75" hidden="1" thickBot="1">
      <c r="A67" s="164" t="s">
        <v>262</v>
      </c>
      <c r="B67" s="165"/>
      <c r="C67" s="165"/>
      <c r="D67" s="165"/>
      <c r="E67" s="165"/>
      <c r="F67" s="170"/>
      <c r="G67" s="342"/>
      <c r="H67" s="342"/>
    </row>
    <row r="68" spans="1:8" ht="31.5" customHeight="1" hidden="1">
      <c r="A68" s="605" t="s">
        <v>263</v>
      </c>
      <c r="B68" s="606"/>
      <c r="C68" s="606"/>
      <c r="D68" s="606"/>
      <c r="E68" s="606"/>
      <c r="F68" s="607"/>
      <c r="G68" s="342"/>
      <c r="H68" s="342"/>
    </row>
    <row r="69" spans="1:8" ht="13.5" hidden="1" thickBot="1">
      <c r="A69" s="164" t="s">
        <v>264</v>
      </c>
      <c r="B69" s="165"/>
      <c r="C69" s="165"/>
      <c r="D69" s="165"/>
      <c r="E69" s="165"/>
      <c r="F69" s="170"/>
      <c r="G69" s="342"/>
      <c r="H69" s="342"/>
    </row>
    <row r="70" spans="1:8" ht="39.75" hidden="1" thickBot="1">
      <c r="A70" s="164" t="s">
        <v>265</v>
      </c>
      <c r="B70" s="165"/>
      <c r="C70" s="165"/>
      <c r="D70" s="165"/>
      <c r="E70" s="165"/>
      <c r="F70" s="170"/>
      <c r="G70" s="342"/>
      <c r="H70" s="342"/>
    </row>
    <row r="71" spans="1:8" ht="13.5" hidden="1" thickBot="1">
      <c r="A71" s="164" t="s">
        <v>266</v>
      </c>
      <c r="B71" s="165"/>
      <c r="C71" s="165"/>
      <c r="D71" s="165"/>
      <c r="E71" s="165"/>
      <c r="F71" s="170"/>
      <c r="G71" s="342"/>
      <c r="H71" s="342"/>
    </row>
    <row r="72" spans="1:8" ht="27" hidden="1" thickBot="1">
      <c r="A72" s="164" t="s">
        <v>267</v>
      </c>
      <c r="B72" s="165"/>
      <c r="C72" s="165"/>
      <c r="D72" s="165"/>
      <c r="E72" s="165"/>
      <c r="F72" s="170"/>
      <c r="G72" s="342"/>
      <c r="H72" s="342"/>
    </row>
    <row r="73" spans="1:8" ht="39.75" hidden="1" thickBot="1">
      <c r="A73" s="164" t="s">
        <v>268</v>
      </c>
      <c r="B73" s="165"/>
      <c r="C73" s="165"/>
      <c r="D73" s="165"/>
      <c r="E73" s="165"/>
      <c r="F73" s="170"/>
      <c r="G73" s="342"/>
      <c r="H73" s="342"/>
    </row>
    <row r="74" spans="1:8" ht="27" hidden="1" thickBot="1">
      <c r="A74" s="164" t="s">
        <v>269</v>
      </c>
      <c r="B74" s="165"/>
      <c r="C74" s="165"/>
      <c r="D74" s="165"/>
      <c r="E74" s="165"/>
      <c r="F74" s="170"/>
      <c r="G74" s="342"/>
      <c r="H74" s="342"/>
    </row>
    <row r="75" spans="1:8" ht="31.5" customHeight="1" hidden="1">
      <c r="A75" s="605" t="s">
        <v>270</v>
      </c>
      <c r="B75" s="606"/>
      <c r="C75" s="606"/>
      <c r="D75" s="606"/>
      <c r="E75" s="606"/>
      <c r="F75" s="607"/>
      <c r="G75" s="342"/>
      <c r="H75" s="342"/>
    </row>
    <row r="76" spans="1:8" ht="27" hidden="1" thickBot="1">
      <c r="A76" s="164" t="s">
        <v>271</v>
      </c>
      <c r="B76" s="165"/>
      <c r="C76" s="165"/>
      <c r="D76" s="165"/>
      <c r="E76" s="165"/>
      <c r="F76" s="170"/>
      <c r="G76" s="342"/>
      <c r="H76" s="342"/>
    </row>
    <row r="77" spans="1:8" ht="27" hidden="1" thickBot="1">
      <c r="A77" s="164" t="s">
        <v>272</v>
      </c>
      <c r="B77" s="165"/>
      <c r="C77" s="165"/>
      <c r="D77" s="165"/>
      <c r="E77" s="165"/>
      <c r="F77" s="170"/>
      <c r="G77" s="342"/>
      <c r="H77" s="342"/>
    </row>
    <row r="78" spans="1:8" ht="27" hidden="1" thickBot="1">
      <c r="A78" s="164" t="s">
        <v>273</v>
      </c>
      <c r="B78" s="165"/>
      <c r="C78" s="165"/>
      <c r="D78" s="165"/>
      <c r="E78" s="165"/>
      <c r="F78" s="170"/>
      <c r="G78" s="342"/>
      <c r="H78" s="342"/>
    </row>
    <row r="79" spans="1:8" ht="13.5" hidden="1" thickBot="1">
      <c r="A79" s="164" t="s">
        <v>274</v>
      </c>
      <c r="B79" s="165"/>
      <c r="C79" s="165"/>
      <c r="D79" s="165"/>
      <c r="E79" s="165"/>
      <c r="F79" s="170"/>
      <c r="G79" s="342"/>
      <c r="H79" s="342"/>
    </row>
    <row r="80" spans="1:8" ht="27" hidden="1" thickBot="1">
      <c r="A80" s="164" t="s">
        <v>275</v>
      </c>
      <c r="B80" s="165"/>
      <c r="C80" s="165"/>
      <c r="D80" s="165"/>
      <c r="E80" s="165"/>
      <c r="F80" s="170"/>
      <c r="G80" s="342"/>
      <c r="H80" s="342"/>
    </row>
    <row r="81" spans="1:8" ht="27" hidden="1" thickBot="1">
      <c r="A81" s="164" t="s">
        <v>276</v>
      </c>
      <c r="B81" s="165"/>
      <c r="C81" s="165"/>
      <c r="D81" s="165"/>
      <c r="E81" s="165"/>
      <c r="F81" s="170"/>
      <c r="G81" s="342"/>
      <c r="H81" s="342"/>
    </row>
    <row r="82" spans="1:8" ht="27" hidden="1" thickBot="1">
      <c r="A82" s="164" t="s">
        <v>277</v>
      </c>
      <c r="B82" s="165"/>
      <c r="C82" s="165"/>
      <c r="D82" s="165"/>
      <c r="E82" s="165"/>
      <c r="F82" s="170"/>
      <c r="G82" s="342"/>
      <c r="H82" s="342"/>
    </row>
    <row r="83" spans="1:8" ht="27" hidden="1" thickBot="1">
      <c r="A83" s="164" t="s">
        <v>278</v>
      </c>
      <c r="B83" s="165"/>
      <c r="C83" s="165"/>
      <c r="D83" s="165"/>
      <c r="E83" s="165"/>
      <c r="F83" s="170"/>
      <c r="G83" s="342"/>
      <c r="H83" s="342"/>
    </row>
    <row r="84" spans="1:8" ht="27" hidden="1" thickBot="1">
      <c r="A84" s="164" t="s">
        <v>279</v>
      </c>
      <c r="B84" s="165"/>
      <c r="C84" s="165"/>
      <c r="D84" s="165"/>
      <c r="E84" s="165"/>
      <c r="F84" s="170"/>
      <c r="G84" s="342"/>
      <c r="H84" s="342"/>
    </row>
    <row r="85" spans="1:8" ht="27" hidden="1" thickBot="1">
      <c r="A85" s="164" t="s">
        <v>280</v>
      </c>
      <c r="B85" s="165"/>
      <c r="C85" s="165"/>
      <c r="D85" s="165"/>
      <c r="E85" s="165"/>
      <c r="F85" s="170"/>
      <c r="G85" s="342"/>
      <c r="H85" s="342"/>
    </row>
    <row r="86" spans="1:8" ht="27" hidden="1" thickBot="1">
      <c r="A86" s="164" t="s">
        <v>281</v>
      </c>
      <c r="B86" s="165"/>
      <c r="C86" s="165"/>
      <c r="D86" s="165"/>
      <c r="E86" s="165"/>
      <c r="F86" s="170"/>
      <c r="G86" s="342"/>
      <c r="H86" s="342"/>
    </row>
    <row r="87" spans="1:8" ht="12.75">
      <c r="A87" s="164" t="s">
        <v>282</v>
      </c>
      <c r="B87" s="146" t="s">
        <v>245</v>
      </c>
      <c r="C87" s="146">
        <v>12</v>
      </c>
      <c r="D87" s="146">
        <f>ROUND(F87/D6,2)</f>
        <v>0</v>
      </c>
      <c r="E87" s="146"/>
      <c r="F87" s="169">
        <f>'пр.3'!F35</f>
        <v>0</v>
      </c>
      <c r="G87" s="342"/>
      <c r="H87" s="342"/>
    </row>
    <row r="88" spans="1:82" s="158" customFormat="1" ht="13.5" thickBot="1">
      <c r="A88" s="166" t="s">
        <v>248</v>
      </c>
      <c r="B88" s="167"/>
      <c r="C88" s="167"/>
      <c r="D88" s="172">
        <f>SUM(D62+D87)</f>
        <v>22.83</v>
      </c>
      <c r="E88" s="167"/>
      <c r="F88" s="172">
        <f>SUM(F62+F87)</f>
        <v>29449</v>
      </c>
      <c r="G88" s="342"/>
      <c r="H88" s="342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</row>
    <row r="89" spans="1:8" ht="15.75" thickBot="1">
      <c r="A89" s="604" t="s">
        <v>283</v>
      </c>
      <c r="B89" s="604"/>
      <c r="C89" s="604"/>
      <c r="D89" s="604"/>
      <c r="E89" s="604"/>
      <c r="F89" s="604"/>
      <c r="G89" s="342"/>
      <c r="H89" s="342"/>
    </row>
    <row r="90" spans="1:8" ht="12.75">
      <c r="A90" s="88" t="s">
        <v>284</v>
      </c>
      <c r="B90" s="146" t="s">
        <v>245</v>
      </c>
      <c r="C90" s="173"/>
      <c r="D90" s="146">
        <f>ROUND(F90/D6,2)</f>
        <v>165.45</v>
      </c>
      <c r="E90" s="173"/>
      <c r="F90" s="169">
        <f>'пр.3'!F41+'пр.3'!F42+'пр.3'!F43+'пр.3'!F44+'пр.3'!F45+'пр.3'!F46+'пр.3'!F47</f>
        <v>213430</v>
      </c>
      <c r="G90" s="342"/>
      <c r="H90" s="342"/>
    </row>
    <row r="91" spans="1:8" ht="12.75">
      <c r="A91" s="174" t="str">
        <f>'пр.3'!A49</f>
        <v>Изготовление ЭЦП</v>
      </c>
      <c r="B91" s="150" t="s">
        <v>245</v>
      </c>
      <c r="C91" s="165"/>
      <c r="D91" s="152">
        <f>ROUND(F91/$D$6,2)</f>
        <v>2.4</v>
      </c>
      <c r="E91" s="165"/>
      <c r="F91" s="171">
        <f>'пр.3'!F49</f>
        <v>3100</v>
      </c>
      <c r="G91" s="342"/>
      <c r="H91" s="342"/>
    </row>
    <row r="92" spans="1:8" ht="12.75" hidden="1">
      <c r="A92" s="174"/>
      <c r="B92" s="150"/>
      <c r="C92" s="165"/>
      <c r="D92" s="152"/>
      <c r="E92" s="165"/>
      <c r="F92" s="171"/>
      <c r="G92" s="342"/>
      <c r="H92" s="342"/>
    </row>
    <row r="93" spans="1:8" ht="12.75" hidden="1">
      <c r="A93" s="174"/>
      <c r="B93" s="150"/>
      <c r="C93" s="165"/>
      <c r="D93" s="152"/>
      <c r="E93" s="165"/>
      <c r="F93" s="171"/>
      <c r="G93" s="342"/>
      <c r="H93" s="342"/>
    </row>
    <row r="94" spans="1:8" ht="12.75" hidden="1">
      <c r="A94" s="174"/>
      <c r="B94" s="150"/>
      <c r="C94" s="165"/>
      <c r="D94" s="152"/>
      <c r="E94" s="165"/>
      <c r="F94" s="171"/>
      <c r="G94" s="342"/>
      <c r="H94" s="342"/>
    </row>
    <row r="95" spans="1:8" ht="12.75" hidden="1">
      <c r="A95" s="174"/>
      <c r="B95" s="150"/>
      <c r="C95" s="165"/>
      <c r="D95" s="152"/>
      <c r="E95" s="165"/>
      <c r="F95" s="171"/>
      <c r="G95" s="342"/>
      <c r="H95" s="342"/>
    </row>
    <row r="96" spans="1:8" ht="12.75" hidden="1">
      <c r="A96" s="174"/>
      <c r="B96" s="150"/>
      <c r="C96" s="165"/>
      <c r="D96" s="152"/>
      <c r="E96" s="165"/>
      <c r="F96" s="171"/>
      <c r="G96" s="342"/>
      <c r="H96" s="342"/>
    </row>
    <row r="97" spans="1:8" ht="12.75" hidden="1">
      <c r="A97" s="174"/>
      <c r="B97" s="150"/>
      <c r="C97" s="165"/>
      <c r="D97" s="152"/>
      <c r="E97" s="165"/>
      <c r="F97" s="171"/>
      <c r="G97" s="342"/>
      <c r="H97" s="342"/>
    </row>
    <row r="98" spans="1:8" ht="12.75" hidden="1">
      <c r="A98" s="174"/>
      <c r="B98" s="150"/>
      <c r="C98" s="165"/>
      <c r="D98" s="152"/>
      <c r="E98" s="165"/>
      <c r="F98" s="171"/>
      <c r="G98" s="342"/>
      <c r="H98" s="342"/>
    </row>
    <row r="99" spans="1:8" ht="12.75" hidden="1">
      <c r="A99" s="174"/>
      <c r="B99" s="150"/>
      <c r="C99" s="165"/>
      <c r="D99" s="152"/>
      <c r="E99" s="165"/>
      <c r="F99" s="171"/>
      <c r="G99" s="342"/>
      <c r="H99" s="342"/>
    </row>
    <row r="100" spans="1:8" ht="12.75" hidden="1">
      <c r="A100" s="174"/>
      <c r="B100" s="150"/>
      <c r="C100" s="165"/>
      <c r="D100" s="152"/>
      <c r="E100" s="165"/>
      <c r="F100" s="171"/>
      <c r="G100" s="342"/>
      <c r="H100" s="342"/>
    </row>
    <row r="101" spans="1:8" ht="12.75">
      <c r="A101" s="174" t="s">
        <v>199</v>
      </c>
      <c r="B101" s="150" t="s">
        <v>245</v>
      </c>
      <c r="C101" s="165"/>
      <c r="D101" s="152">
        <f>ROUND(F101/D6,2)</f>
        <v>0</v>
      </c>
      <c r="E101" s="165"/>
      <c r="F101" s="171">
        <f>'пр.3'!F59</f>
        <v>0</v>
      </c>
      <c r="G101" s="342"/>
      <c r="H101" s="342"/>
    </row>
    <row r="102" spans="1:8" ht="12.75">
      <c r="A102" s="174" t="s">
        <v>285</v>
      </c>
      <c r="B102" s="150" t="s">
        <v>245</v>
      </c>
      <c r="C102" s="165"/>
      <c r="D102" s="152">
        <f>ROUND(F102/D6,2)</f>
        <v>0</v>
      </c>
      <c r="E102" s="165"/>
      <c r="F102" s="171">
        <f>'пр.3'!F70</f>
        <v>0</v>
      </c>
      <c r="G102" s="342"/>
      <c r="H102" s="342"/>
    </row>
    <row r="103" spans="1:8" ht="12.75">
      <c r="A103" s="174" t="s">
        <v>286</v>
      </c>
      <c r="B103" s="150" t="s">
        <v>245</v>
      </c>
      <c r="C103" s="175"/>
      <c r="D103" s="152">
        <f>ROUND(F103/D6,2)</f>
        <v>24.18</v>
      </c>
      <c r="E103" s="175"/>
      <c r="F103" s="176">
        <f>'пр.3'!F50+'пр.3'!F51+'пр.3'!F52+'пр.3'!F53+'пр.3'!F54+'пр.3'!F55+'пр.3'!F56</f>
        <v>31189.6</v>
      </c>
      <c r="G103" s="342"/>
      <c r="H103" s="342"/>
    </row>
    <row r="104" spans="1:82" s="180" customFormat="1" ht="13.5" thickBot="1">
      <c r="A104" s="177" t="s">
        <v>287</v>
      </c>
      <c r="B104" s="178"/>
      <c r="C104" s="178"/>
      <c r="D104" s="179">
        <f>D90+D91+D103+D101+D102</f>
        <v>192.03</v>
      </c>
      <c r="E104" s="178"/>
      <c r="F104" s="179">
        <f>F90+F91+F103+F101+F102</f>
        <v>247719.6</v>
      </c>
      <c r="G104" s="342"/>
      <c r="H104" s="342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</row>
    <row r="105" spans="1:82" s="159" customFormat="1" ht="18" hidden="1">
      <c r="A105" s="608" t="s">
        <v>288</v>
      </c>
      <c r="B105" s="609"/>
      <c r="C105" s="609"/>
      <c r="D105" s="609"/>
      <c r="E105" s="609"/>
      <c r="F105" s="609"/>
      <c r="G105" s="342"/>
      <c r="H105" s="342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</row>
    <row r="106" spans="1:82" s="159" customFormat="1" ht="36.75" customHeight="1" thickBot="1">
      <c r="A106" s="610" t="s">
        <v>289</v>
      </c>
      <c r="B106" s="610"/>
      <c r="C106" s="610"/>
      <c r="D106" s="610"/>
      <c r="E106" s="610"/>
      <c r="F106" s="611"/>
      <c r="G106" s="342"/>
      <c r="H106" s="342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</row>
    <row r="107" spans="1:82" s="159" customFormat="1" ht="12.75">
      <c r="A107" s="181" t="s">
        <v>203</v>
      </c>
      <c r="B107" s="146" t="s">
        <v>245</v>
      </c>
      <c r="C107" s="182">
        <v>12</v>
      </c>
      <c r="D107" s="146">
        <f>ROUND(F107/D6,2)</f>
        <v>0</v>
      </c>
      <c r="E107" s="183"/>
      <c r="F107" s="148">
        <f>'пр.4'!F6</f>
        <v>0</v>
      </c>
      <c r="G107" s="342"/>
      <c r="H107" s="342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</row>
    <row r="108" spans="1:82" s="159" customFormat="1" ht="12.75">
      <c r="A108" s="119" t="s">
        <v>204</v>
      </c>
      <c r="B108" s="150" t="s">
        <v>245</v>
      </c>
      <c r="C108" s="184">
        <v>12</v>
      </c>
      <c r="D108" s="152">
        <f>ROUND(F108/D6,2)</f>
        <v>0</v>
      </c>
      <c r="E108" s="185"/>
      <c r="F108" s="160">
        <f>'пр.4'!F7</f>
        <v>0</v>
      </c>
      <c r="G108" s="342"/>
      <c r="H108" s="342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</row>
    <row r="109" spans="1:82" s="158" customFormat="1" ht="13.5" thickBot="1">
      <c r="A109" s="166" t="s">
        <v>287</v>
      </c>
      <c r="B109" s="167"/>
      <c r="C109" s="167"/>
      <c r="D109" s="157">
        <f>D107+D108</f>
        <v>0</v>
      </c>
      <c r="E109" s="167"/>
      <c r="F109" s="157">
        <f>F107+F108</f>
        <v>0</v>
      </c>
      <c r="G109" s="342"/>
      <c r="H109" s="342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</row>
    <row r="110" spans="1:82" s="159" customFormat="1" ht="15.75" thickBot="1">
      <c r="A110" s="595" t="s">
        <v>290</v>
      </c>
      <c r="B110" s="595"/>
      <c r="C110" s="595"/>
      <c r="D110" s="595"/>
      <c r="E110" s="595"/>
      <c r="F110" s="600"/>
      <c r="G110" s="342"/>
      <c r="H110" s="342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</row>
    <row r="111" spans="1:82" s="159" customFormat="1" ht="12.75">
      <c r="A111" s="181" t="s">
        <v>207</v>
      </c>
      <c r="B111" s="146" t="s">
        <v>245</v>
      </c>
      <c r="C111" s="182">
        <v>12</v>
      </c>
      <c r="D111" s="146">
        <f>ROUND(F111/D6,2)</f>
        <v>0</v>
      </c>
      <c r="E111" s="183"/>
      <c r="F111" s="186">
        <f>'пр.4'!F26</f>
        <v>0</v>
      </c>
      <c r="G111" s="342"/>
      <c r="H111" s="342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</row>
    <row r="112" spans="1:82" s="159" customFormat="1" ht="12.75">
      <c r="A112" s="119" t="s">
        <v>208</v>
      </c>
      <c r="B112" s="150" t="s">
        <v>245</v>
      </c>
      <c r="C112" s="184">
        <v>12</v>
      </c>
      <c r="D112" s="152">
        <f>ROUND(F112/D6,2)</f>
        <v>0</v>
      </c>
      <c r="E112" s="185"/>
      <c r="F112" s="187">
        <f>'пр.4'!F27</f>
        <v>0</v>
      </c>
      <c r="G112" s="342"/>
      <c r="H112" s="342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</row>
    <row r="113" spans="1:82" s="159" customFormat="1" ht="12.75">
      <c r="A113" s="119" t="s">
        <v>209</v>
      </c>
      <c r="B113" s="150" t="s">
        <v>245</v>
      </c>
      <c r="C113" s="185"/>
      <c r="D113" s="184"/>
      <c r="E113" s="185"/>
      <c r="F113" s="187">
        <f>ROUND('пр.4'!F28/12,2)</f>
        <v>0</v>
      </c>
      <c r="G113" s="342"/>
      <c r="H113" s="342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</row>
    <row r="114" spans="1:82" s="159" customFormat="1" ht="12.75" hidden="1">
      <c r="A114" s="119"/>
      <c r="B114" s="150" t="s">
        <v>245</v>
      </c>
      <c r="C114" s="185"/>
      <c r="D114" s="184"/>
      <c r="E114" s="185"/>
      <c r="F114" s="187"/>
      <c r="G114" s="342"/>
      <c r="H114" s="342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</row>
    <row r="115" spans="1:82" s="158" customFormat="1" ht="13.5" thickBot="1">
      <c r="A115" s="166" t="s">
        <v>287</v>
      </c>
      <c r="B115" s="167"/>
      <c r="C115" s="167"/>
      <c r="D115" s="157">
        <f>D111+D112+D113+D114</f>
        <v>0</v>
      </c>
      <c r="E115" s="167"/>
      <c r="F115" s="157">
        <f>F111+F112+F113+F114</f>
        <v>0</v>
      </c>
      <c r="G115" s="342"/>
      <c r="H115" s="342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</row>
    <row r="116" spans="1:82" s="159" customFormat="1" ht="33" customHeight="1" thickBot="1">
      <c r="A116" s="571" t="s">
        <v>291</v>
      </c>
      <c r="B116" s="571"/>
      <c r="C116" s="571"/>
      <c r="D116" s="571"/>
      <c r="E116" s="571"/>
      <c r="F116" s="601"/>
      <c r="G116" s="342"/>
      <c r="H116" s="342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</row>
    <row r="117" spans="1:82" s="159" customFormat="1" ht="12.75">
      <c r="A117" s="181" t="s">
        <v>214</v>
      </c>
      <c r="B117" s="146" t="s">
        <v>245</v>
      </c>
      <c r="C117" s="183"/>
      <c r="D117" s="146">
        <f>ROUND(F117/D6,2)</f>
        <v>0</v>
      </c>
      <c r="E117" s="183"/>
      <c r="F117" s="186">
        <f>'пр.4'!F36</f>
        <v>0</v>
      </c>
      <c r="G117" s="342"/>
      <c r="H117" s="342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</row>
    <row r="118" spans="1:82" s="158" customFormat="1" ht="13.5" thickBot="1">
      <c r="A118" s="166" t="s">
        <v>287</v>
      </c>
      <c r="B118" s="167"/>
      <c r="C118" s="167"/>
      <c r="D118" s="157">
        <f>D117</f>
        <v>0</v>
      </c>
      <c r="E118" s="167"/>
      <c r="F118" s="157">
        <f>F117</f>
        <v>0</v>
      </c>
      <c r="G118" s="342"/>
      <c r="H118" s="342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</row>
    <row r="119" spans="1:82" s="159" customFormat="1" ht="15.75" thickBot="1">
      <c r="A119" s="595" t="s">
        <v>292</v>
      </c>
      <c r="B119" s="595"/>
      <c r="C119" s="595"/>
      <c r="D119" s="595"/>
      <c r="E119" s="595"/>
      <c r="F119" s="600"/>
      <c r="G119" s="342"/>
      <c r="H119" s="342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</row>
    <row r="120" spans="1:82" s="159" customFormat="1" ht="12.75">
      <c r="A120" s="181"/>
      <c r="B120" s="146" t="s">
        <v>245</v>
      </c>
      <c r="C120" s="183"/>
      <c r="D120" s="146">
        <f>ROUND(F120/D6,2)</f>
        <v>0</v>
      </c>
      <c r="E120" s="183"/>
      <c r="F120" s="186">
        <f>'пр.4'!F43</f>
        <v>0</v>
      </c>
      <c r="G120" s="342"/>
      <c r="H120" s="342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</row>
    <row r="121" spans="1:82" s="159" customFormat="1" ht="13.5" thickBot="1">
      <c r="A121" s="188"/>
      <c r="B121" s="189" t="s">
        <v>245</v>
      </c>
      <c r="C121" s="190"/>
      <c r="D121" s="191">
        <f>ROUND(F121/D6,2)</f>
        <v>0</v>
      </c>
      <c r="E121" s="190"/>
      <c r="F121" s="192">
        <f>'пр.4'!F44</f>
        <v>0</v>
      </c>
      <c r="G121" s="342"/>
      <c r="H121" s="342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</row>
    <row r="122" spans="1:82" s="158" customFormat="1" ht="12.75">
      <c r="A122" s="193" t="s">
        <v>287</v>
      </c>
      <c r="B122" s="193"/>
      <c r="C122" s="193"/>
      <c r="D122" s="194">
        <f>D120+D121</f>
        <v>0</v>
      </c>
      <c r="E122" s="193"/>
      <c r="F122" s="194">
        <f>F120+F121</f>
        <v>0</v>
      </c>
      <c r="G122" s="342"/>
      <c r="H122" s="342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</row>
    <row r="123" spans="1:82" s="159" customFormat="1" ht="15.75" thickBot="1">
      <c r="A123" s="602" t="s">
        <v>293</v>
      </c>
      <c r="B123" s="602"/>
      <c r="C123" s="602"/>
      <c r="D123" s="602"/>
      <c r="E123" s="602"/>
      <c r="F123" s="602"/>
      <c r="G123" s="342"/>
      <c r="H123" s="342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</row>
    <row r="124" spans="1:82" s="159" customFormat="1" ht="12.75">
      <c r="A124" s="88" t="s">
        <v>220</v>
      </c>
      <c r="B124" s="146" t="s">
        <v>245</v>
      </c>
      <c r="C124" s="146">
        <v>12</v>
      </c>
      <c r="D124" s="195">
        <f>ROUND(F124/D6,2)</f>
        <v>51.01</v>
      </c>
      <c r="E124" s="146"/>
      <c r="F124" s="148">
        <f>'пр.5'!F6+'пр.5'!F7</f>
        <v>65808.94</v>
      </c>
      <c r="G124" s="342"/>
      <c r="H124" s="342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</row>
    <row r="125" spans="1:82" s="159" customFormat="1" ht="12.75">
      <c r="A125" s="80" t="s">
        <v>222</v>
      </c>
      <c r="B125" s="150" t="s">
        <v>245</v>
      </c>
      <c r="C125" s="150">
        <v>12</v>
      </c>
      <c r="D125" s="196">
        <f>ROUND(F125/D6,2)</f>
        <v>55.18</v>
      </c>
      <c r="E125" s="150"/>
      <c r="F125" s="160">
        <f>'пр.5'!F8+'пр.5'!F9</f>
        <v>71185.14</v>
      </c>
      <c r="G125" s="342"/>
      <c r="H125" s="342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</row>
    <row r="126" spans="1:82" s="159" customFormat="1" ht="12.75">
      <c r="A126" s="98" t="s">
        <v>156</v>
      </c>
      <c r="B126" s="150" t="s">
        <v>245</v>
      </c>
      <c r="C126" s="150">
        <v>12</v>
      </c>
      <c r="D126" s="196">
        <f>ROUND(F126/D6,2)</f>
        <v>176.32</v>
      </c>
      <c r="E126" s="150"/>
      <c r="F126" s="160">
        <f>'пр.5'!F10+'пр.5'!F12+'пр.5'!F11</f>
        <v>227457.76</v>
      </c>
      <c r="G126" s="342"/>
      <c r="H126" s="342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</row>
    <row r="127" spans="1:82" s="159" customFormat="1" ht="12.75">
      <c r="A127" s="98" t="s">
        <v>223</v>
      </c>
      <c r="B127" s="150" t="s">
        <v>245</v>
      </c>
      <c r="C127" s="150">
        <v>12</v>
      </c>
      <c r="D127" s="196">
        <f>ROUND(F127/D6,2)</f>
        <v>1394.52</v>
      </c>
      <c r="E127" s="150"/>
      <c r="F127" s="160">
        <f>'пр.5'!F14+'пр.5'!F15+'пр.5'!F13</f>
        <v>1798926.8599999999</v>
      </c>
      <c r="G127" s="342"/>
      <c r="H127" s="342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</row>
    <row r="128" spans="1:82" s="159" customFormat="1" ht="12.75">
      <c r="A128" s="98" t="s">
        <v>225</v>
      </c>
      <c r="B128" s="150" t="s">
        <v>245</v>
      </c>
      <c r="C128" s="150">
        <v>12</v>
      </c>
      <c r="D128" s="196">
        <f>ROUND(F128/D6,2)</f>
        <v>537.27</v>
      </c>
      <c r="E128" s="150"/>
      <c r="F128" s="160">
        <f>'пр.5'!F17+'пр.5'!F16</f>
        <v>693084.3</v>
      </c>
      <c r="G128" s="342"/>
      <c r="H128" s="342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</row>
    <row r="129" spans="1:82" s="159" customFormat="1" ht="39" hidden="1">
      <c r="A129" s="80" t="s">
        <v>227</v>
      </c>
      <c r="B129" s="150" t="s">
        <v>245</v>
      </c>
      <c r="C129" s="150">
        <v>12</v>
      </c>
      <c r="D129" s="196">
        <f>ROUND(F129/D6,2)</f>
        <v>0</v>
      </c>
      <c r="E129" s="150"/>
      <c r="F129" s="160">
        <f>'пр.5'!F18</f>
        <v>0</v>
      </c>
      <c r="G129" s="342"/>
      <c r="H129" s="342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</row>
    <row r="130" spans="1:82" s="159" customFormat="1" ht="13.5" thickBot="1">
      <c r="A130" s="197" t="s">
        <v>287</v>
      </c>
      <c r="B130" s="198"/>
      <c r="C130" s="198"/>
      <c r="D130" s="199">
        <f>SUM(D124:D129)</f>
        <v>2214.3</v>
      </c>
      <c r="E130" s="200"/>
      <c r="F130" s="199">
        <f>SUM(F124:F129)</f>
        <v>2856463</v>
      </c>
      <c r="G130" s="342"/>
      <c r="H130" s="342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</row>
    <row r="131" spans="1:82" s="205" customFormat="1" ht="27" thickBot="1">
      <c r="A131" s="201" t="s">
        <v>294</v>
      </c>
      <c r="B131" s="202"/>
      <c r="C131" s="202"/>
      <c r="D131" s="203">
        <f>D130+D122+D118+D115+D109+D104+D88+D60+D34</f>
        <v>13725.45</v>
      </c>
      <c r="E131" s="202"/>
      <c r="F131" s="204">
        <f>F130+F122+F118+F115+F109+F104+F88+F60+F34</f>
        <v>17705829</v>
      </c>
      <c r="G131" s="342"/>
      <c r="H131" s="342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</row>
    <row r="132" spans="1:8" ht="18" thickBot="1">
      <c r="A132" s="603" t="s">
        <v>295</v>
      </c>
      <c r="B132" s="603"/>
      <c r="C132" s="603"/>
      <c r="D132" s="603"/>
      <c r="E132" s="603"/>
      <c r="F132" s="603"/>
      <c r="G132" s="342"/>
      <c r="H132" s="342"/>
    </row>
    <row r="133" spans="1:8" ht="12.75">
      <c r="A133" s="168" t="s">
        <v>296</v>
      </c>
      <c r="B133" s="146" t="s">
        <v>245</v>
      </c>
      <c r="C133" s="206">
        <v>0.022</v>
      </c>
      <c r="D133" s="195">
        <f>ROUND(F133/D6,2)</f>
        <v>527.83</v>
      </c>
      <c r="E133" s="146"/>
      <c r="F133" s="148">
        <f>'пр.6'!D6</f>
        <v>680901</v>
      </c>
      <c r="G133" s="342"/>
      <c r="H133" s="342"/>
    </row>
    <row r="134" spans="1:8" ht="12.75">
      <c r="A134" s="164" t="s">
        <v>297</v>
      </c>
      <c r="B134" s="150" t="s">
        <v>245</v>
      </c>
      <c r="C134" s="207">
        <v>0.015</v>
      </c>
      <c r="D134" s="196">
        <f>ROUND(F134/D6,2)</f>
        <v>571.09</v>
      </c>
      <c r="E134" s="150"/>
      <c r="F134" s="160">
        <f>'пр.6'!D7+'пр.6'!D8</f>
        <v>736711</v>
      </c>
      <c r="G134" s="342"/>
      <c r="H134" s="342"/>
    </row>
    <row r="135" spans="1:8" ht="12.75">
      <c r="A135" s="208" t="s">
        <v>234</v>
      </c>
      <c r="B135" s="150" t="s">
        <v>245</v>
      </c>
      <c r="C135" s="207"/>
      <c r="D135" s="196">
        <f>ROUND(F135/D6,2)</f>
        <v>0</v>
      </c>
      <c r="E135" s="150"/>
      <c r="F135" s="160">
        <f>'пр.6'!D9</f>
        <v>0</v>
      </c>
      <c r="G135" s="342"/>
      <c r="H135" s="342"/>
    </row>
    <row r="136" spans="1:8" ht="12.75">
      <c r="A136" s="164" t="s">
        <v>235</v>
      </c>
      <c r="B136" s="150" t="s">
        <v>245</v>
      </c>
      <c r="C136" s="207"/>
      <c r="D136" s="196">
        <f>ROUND(F136/D6,2)</f>
        <v>0</v>
      </c>
      <c r="E136" s="150"/>
      <c r="F136" s="160">
        <f>'пр.6'!D10</f>
        <v>0</v>
      </c>
      <c r="G136" s="342"/>
      <c r="H136" s="342"/>
    </row>
    <row r="137" spans="1:8" ht="12.75">
      <c r="A137" s="164" t="s">
        <v>236</v>
      </c>
      <c r="B137" s="150" t="s">
        <v>245</v>
      </c>
      <c r="C137" s="207"/>
      <c r="D137" s="196">
        <f>ROUND(F137/D6,2)</f>
        <v>7.75</v>
      </c>
      <c r="E137" s="150"/>
      <c r="F137" s="160">
        <f>'пр.6'!D11</f>
        <v>10000</v>
      </c>
      <c r="G137" s="342"/>
      <c r="H137" s="342"/>
    </row>
    <row r="138" spans="1:8" ht="12.75" hidden="1">
      <c r="A138" s="164"/>
      <c r="B138" s="150"/>
      <c r="C138" s="207"/>
      <c r="D138" s="196"/>
      <c r="E138" s="150"/>
      <c r="F138" s="160"/>
      <c r="G138" s="342"/>
      <c r="H138" s="342"/>
    </row>
    <row r="139" spans="1:8" ht="12.75" hidden="1">
      <c r="A139" s="164"/>
      <c r="B139" s="150"/>
      <c r="C139" s="207"/>
      <c r="D139" s="196"/>
      <c r="E139" s="150"/>
      <c r="F139" s="160"/>
      <c r="G139" s="342"/>
      <c r="H139" s="342"/>
    </row>
    <row r="140" spans="1:8" ht="12.75" hidden="1">
      <c r="A140" s="164"/>
      <c r="B140" s="150"/>
      <c r="C140" s="207"/>
      <c r="D140" s="196"/>
      <c r="E140" s="150"/>
      <c r="F140" s="160"/>
      <c r="G140" s="342"/>
      <c r="H140" s="342"/>
    </row>
    <row r="141" spans="1:82" s="214" customFormat="1" ht="13.5" thickBot="1">
      <c r="A141" s="209" t="s">
        <v>287</v>
      </c>
      <c r="B141" s="210"/>
      <c r="C141" s="211"/>
      <c r="D141" s="212">
        <f>ROUND(F141/D6,2)</f>
        <v>1106.68</v>
      </c>
      <c r="E141" s="210"/>
      <c r="F141" s="213">
        <f>SUM(F133:F139)</f>
        <v>1427612</v>
      </c>
      <c r="G141" s="342"/>
      <c r="H141" s="342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</row>
    <row r="142" spans="1:8" ht="18" thickBot="1">
      <c r="A142" s="215" t="s">
        <v>298</v>
      </c>
      <c r="B142" s="216"/>
      <c r="C142" s="216"/>
      <c r="D142" s="217">
        <f>D141+D131+D13</f>
        <v>34251.740000000005</v>
      </c>
      <c r="E142" s="218"/>
      <c r="F142" s="219">
        <f>F141+F131+F13</f>
        <v>44184741</v>
      </c>
      <c r="G142" s="342"/>
      <c r="H142" s="342"/>
    </row>
    <row r="143" ht="12.75">
      <c r="F143" s="220"/>
    </row>
    <row r="144" ht="12.75">
      <c r="F144" s="221"/>
    </row>
    <row r="145" spans="1:10" s="76" customFormat="1" ht="12.75">
      <c r="A145" s="240" t="s">
        <v>399</v>
      </c>
      <c r="B145" s="240"/>
      <c r="C145" s="240"/>
      <c r="D145" s="240" t="s">
        <v>396</v>
      </c>
      <c r="E145" s="241"/>
      <c r="F145" s="240"/>
      <c r="G145" s="242"/>
      <c r="H145" s="75"/>
      <c r="I145" s="75"/>
      <c r="J145" s="75"/>
    </row>
    <row r="146" spans="5:10" s="76" customFormat="1" ht="12.75">
      <c r="E146" s="243"/>
      <c r="G146" s="242"/>
      <c r="H146" s="75"/>
      <c r="I146" s="75"/>
      <c r="J146" s="75"/>
    </row>
    <row r="147" spans="5:10" s="76" customFormat="1" ht="12.75">
      <c r="E147" s="243"/>
      <c r="G147" s="242"/>
      <c r="H147" s="75"/>
      <c r="I147" s="75"/>
      <c r="J147" s="75"/>
    </row>
    <row r="148" spans="1:10" s="76" customFormat="1" ht="12.75">
      <c r="A148" s="76" t="s">
        <v>155</v>
      </c>
      <c r="D148" s="76" t="s">
        <v>398</v>
      </c>
      <c r="E148" s="243"/>
      <c r="G148" s="242"/>
      <c r="H148" s="75"/>
      <c r="I148" s="75"/>
      <c r="J148" s="75"/>
    </row>
    <row r="149" ht="12.75">
      <c r="A149" s="71"/>
    </row>
  </sheetData>
  <sheetProtection/>
  <mergeCells count="23">
    <mergeCell ref="A1:F1"/>
    <mergeCell ref="A2:F2"/>
    <mergeCell ref="A3:F3"/>
    <mergeCell ref="A5:F5"/>
    <mergeCell ref="A9:F9"/>
    <mergeCell ref="A14:F14"/>
    <mergeCell ref="A106:F106"/>
    <mergeCell ref="A19:F19"/>
    <mergeCell ref="A23:F23"/>
    <mergeCell ref="A28:F28"/>
    <mergeCell ref="A29:F29"/>
    <mergeCell ref="A35:F35"/>
    <mergeCell ref="A40:F40"/>
    <mergeCell ref="A110:F110"/>
    <mergeCell ref="A116:F116"/>
    <mergeCell ref="A119:F119"/>
    <mergeCell ref="A123:F123"/>
    <mergeCell ref="A132:F132"/>
    <mergeCell ref="A61:F61"/>
    <mergeCell ref="A68:F68"/>
    <mergeCell ref="A75:F75"/>
    <mergeCell ref="A89:F89"/>
    <mergeCell ref="A105:F105"/>
  </mergeCells>
  <printOptions/>
  <pageMargins left="0.2" right="0.16" top="0.33" bottom="0.5" header="0.33" footer="0.3"/>
  <pageSetup fitToHeight="0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6" sqref="R16"/>
    </sheetView>
  </sheetViews>
  <sheetFormatPr defaultColWidth="9.140625" defaultRowHeight="15"/>
  <cols>
    <col min="1" max="2" width="7.57421875" style="71" customWidth="1"/>
    <col min="3" max="3" width="15.57421875" style="71" customWidth="1"/>
    <col min="4" max="4" width="18.140625" style="71" customWidth="1"/>
    <col min="5" max="5" width="15.140625" style="71" customWidth="1"/>
    <col min="6" max="6" width="12.57421875" style="71" customWidth="1"/>
    <col min="7" max="16384" width="9.140625" style="71" customWidth="1"/>
  </cols>
  <sheetData>
    <row r="1" spans="6:10" ht="12.75">
      <c r="F1" s="87"/>
      <c r="G1" s="87"/>
      <c r="H1" s="87"/>
      <c r="I1" s="87"/>
      <c r="J1" s="87"/>
    </row>
    <row r="2" spans="1:10" ht="17.25">
      <c r="A2" s="627" t="s">
        <v>299</v>
      </c>
      <c r="B2" s="627"/>
      <c r="C2" s="627"/>
      <c r="D2" s="627"/>
      <c r="E2" s="627"/>
      <c r="F2" s="87"/>
      <c r="G2" s="87"/>
      <c r="H2" s="87"/>
      <c r="I2" s="87"/>
      <c r="J2" s="87"/>
    </row>
    <row r="3" spans="6:10" ht="12.75">
      <c r="F3" s="87"/>
      <c r="G3" s="87"/>
      <c r="H3" s="87"/>
      <c r="I3" s="87"/>
      <c r="J3" s="87"/>
    </row>
    <row r="4" spans="6:10" ht="12.75">
      <c r="F4" s="87"/>
      <c r="G4" s="87"/>
      <c r="H4" s="87"/>
      <c r="I4" s="87"/>
      <c r="J4" s="87"/>
    </row>
    <row r="5" spans="1:10" ht="12.75">
      <c r="A5" s="108" t="s">
        <v>132</v>
      </c>
      <c r="B5" s="108" t="s">
        <v>300</v>
      </c>
      <c r="C5" s="108" t="s">
        <v>301</v>
      </c>
      <c r="D5" s="108" t="s">
        <v>168</v>
      </c>
      <c r="E5" s="108" t="s">
        <v>302</v>
      </c>
      <c r="F5" s="87"/>
      <c r="G5" s="87"/>
      <c r="H5" s="87"/>
      <c r="I5" s="87"/>
      <c r="J5" s="87"/>
    </row>
    <row r="6" spans="1:10" s="226" customFormat="1" ht="12.75">
      <c r="A6" s="222"/>
      <c r="B6" s="222"/>
      <c r="C6" s="223">
        <f>SUM(C7:C25)</f>
        <v>44184741</v>
      </c>
      <c r="D6" s="223">
        <f>SUM(D7:D25)</f>
        <v>44184741</v>
      </c>
      <c r="E6" s="223">
        <f>SUM(E7:E25)</f>
        <v>0</v>
      </c>
      <c r="F6" s="224"/>
      <c r="G6" s="225"/>
      <c r="H6" s="225"/>
      <c r="I6" s="225"/>
      <c r="J6" s="225"/>
    </row>
    <row r="7" spans="1:10" s="226" customFormat="1" ht="12.75">
      <c r="A7" s="222">
        <v>211</v>
      </c>
      <c r="B7" s="222" t="s">
        <v>303</v>
      </c>
      <c r="C7" s="227"/>
      <c r="D7" s="223">
        <f>свод!F20</f>
        <v>0</v>
      </c>
      <c r="E7" s="228">
        <f aca="true" t="shared" si="0" ref="E7:E24">C7-D7</f>
        <v>0</v>
      </c>
      <c r="F7" s="224"/>
      <c r="G7" s="225"/>
      <c r="H7" s="225"/>
      <c r="I7" s="225"/>
      <c r="J7" s="225"/>
    </row>
    <row r="8" spans="1:10" s="226" customFormat="1" ht="12.75">
      <c r="A8" s="222">
        <v>213</v>
      </c>
      <c r="B8" s="222" t="s">
        <v>303</v>
      </c>
      <c r="C8" s="227"/>
      <c r="D8" s="223">
        <f>свод!F21</f>
        <v>0</v>
      </c>
      <c r="E8" s="228">
        <f t="shared" si="0"/>
        <v>0</v>
      </c>
      <c r="F8" s="224"/>
      <c r="G8" s="225"/>
      <c r="H8" s="225"/>
      <c r="I8" s="225"/>
      <c r="J8" s="225"/>
    </row>
    <row r="9" spans="1:10" s="226" customFormat="1" ht="12.75">
      <c r="A9" s="222">
        <v>211</v>
      </c>
      <c r="B9" s="229" t="s">
        <v>427</v>
      </c>
      <c r="C9" s="230">
        <v>26940569</v>
      </c>
      <c r="D9" s="231">
        <f>свод!F24+свод!F36</f>
        <v>26940569</v>
      </c>
      <c r="E9" s="228">
        <f t="shared" si="0"/>
        <v>0</v>
      </c>
      <c r="F9" s="87" t="s">
        <v>433</v>
      </c>
      <c r="G9" s="224"/>
      <c r="H9" s="225"/>
      <c r="I9" s="225"/>
      <c r="J9" s="225"/>
    </row>
    <row r="10" spans="1:10" s="226" customFormat="1" ht="12.75">
      <c r="A10" s="222">
        <v>213</v>
      </c>
      <c r="B10" s="229" t="s">
        <v>427</v>
      </c>
      <c r="C10" s="230">
        <v>8136052</v>
      </c>
      <c r="D10" s="231">
        <f>свод!F38+свод!F25</f>
        <v>8136052</v>
      </c>
      <c r="E10" s="228">
        <f t="shared" si="0"/>
        <v>0</v>
      </c>
      <c r="F10" s="225"/>
      <c r="G10" s="225"/>
      <c r="H10" s="225"/>
      <c r="I10" s="225"/>
      <c r="J10" s="225"/>
    </row>
    <row r="11" spans="1:10" s="226" customFormat="1" ht="12.75">
      <c r="A11" s="222">
        <v>221</v>
      </c>
      <c r="B11" s="229" t="s">
        <v>427</v>
      </c>
      <c r="C11" s="230">
        <v>250000</v>
      </c>
      <c r="D11" s="231">
        <f>'пр.1+2 '!D35:E35</f>
        <v>250000</v>
      </c>
      <c r="E11" s="228">
        <f>C11-D11</f>
        <v>0</v>
      </c>
      <c r="F11" s="225"/>
      <c r="G11" s="225"/>
      <c r="H11" s="225"/>
      <c r="I11" s="225"/>
      <c r="J11" s="225"/>
    </row>
    <row r="12" spans="1:10" s="226" customFormat="1" ht="12.75">
      <c r="A12" s="222">
        <v>226</v>
      </c>
      <c r="B12" s="229" t="s">
        <v>427</v>
      </c>
      <c r="C12" s="230">
        <v>172862</v>
      </c>
      <c r="D12" s="231">
        <f>'пр.1+2 '!D36:E36+'пр.1+2 '!D37:E37</f>
        <v>172862</v>
      </c>
      <c r="E12" s="228">
        <f>C12-D12</f>
        <v>0</v>
      </c>
      <c r="F12" s="224"/>
      <c r="G12" s="225"/>
      <c r="H12" s="225"/>
      <c r="I12" s="225"/>
      <c r="J12" s="225"/>
    </row>
    <row r="13" spans="1:10" s="226" customFormat="1" ht="12.75">
      <c r="A13" s="222">
        <v>310</v>
      </c>
      <c r="B13" s="229" t="s">
        <v>427</v>
      </c>
      <c r="C13" s="230">
        <v>270000</v>
      </c>
      <c r="D13" s="231">
        <f>'пр.1+2 '!D38:E38</f>
        <v>270000</v>
      </c>
      <c r="E13" s="228">
        <f t="shared" si="0"/>
        <v>0</v>
      </c>
      <c r="F13" s="224"/>
      <c r="G13" s="225"/>
      <c r="H13" s="225"/>
      <c r="I13" s="225"/>
      <c r="J13" s="225"/>
    </row>
    <row r="14" spans="1:10" s="226" customFormat="1" ht="12.75">
      <c r="A14" s="222">
        <v>340</v>
      </c>
      <c r="B14" s="229" t="s">
        <v>427</v>
      </c>
      <c r="C14" s="230">
        <v>44688</v>
      </c>
      <c r="D14" s="231">
        <f>'пр.1+2 '!D39:E39</f>
        <v>44688</v>
      </c>
      <c r="E14" s="228">
        <f t="shared" si="0"/>
        <v>0</v>
      </c>
      <c r="F14" s="224"/>
      <c r="G14" s="225"/>
      <c r="H14" s="225"/>
      <c r="I14" s="225"/>
      <c r="J14" s="225"/>
    </row>
    <row r="15" spans="1:10" ht="12.75">
      <c r="A15" s="108">
        <v>211</v>
      </c>
      <c r="B15" s="108">
        <v>101</v>
      </c>
      <c r="C15" s="232">
        <v>2633163</v>
      </c>
      <c r="D15" s="228">
        <f>свод!F15+свод!F41</f>
        <v>2633163</v>
      </c>
      <c r="E15" s="228">
        <f t="shared" si="0"/>
        <v>0</v>
      </c>
      <c r="F15" s="87" t="s">
        <v>433</v>
      </c>
      <c r="G15" s="87"/>
      <c r="H15" s="87"/>
      <c r="I15" s="87"/>
      <c r="J15" s="87"/>
    </row>
    <row r="16" spans="1:10" ht="12.75">
      <c r="A16" s="108">
        <v>212</v>
      </c>
      <c r="B16" s="108">
        <v>101</v>
      </c>
      <c r="C16" s="232">
        <v>1200</v>
      </c>
      <c r="D16" s="228">
        <f>свод!F33</f>
        <v>1200</v>
      </c>
      <c r="E16" s="228">
        <f t="shared" si="0"/>
        <v>0</v>
      </c>
      <c r="F16" s="87"/>
      <c r="G16" s="87"/>
      <c r="H16" s="87"/>
      <c r="I16" s="87"/>
      <c r="J16" s="87"/>
    </row>
    <row r="17" spans="1:10" ht="12.75">
      <c r="A17" s="108">
        <v>213</v>
      </c>
      <c r="B17" s="108">
        <v>101</v>
      </c>
      <c r="C17" s="232">
        <v>795215</v>
      </c>
      <c r="D17" s="228">
        <f>свод!F16+свод!F43</f>
        <v>795215</v>
      </c>
      <c r="E17" s="228">
        <f t="shared" si="0"/>
        <v>0</v>
      </c>
      <c r="F17" s="87"/>
      <c r="G17" s="87"/>
      <c r="H17" s="87"/>
      <c r="I17" s="87"/>
      <c r="J17" s="87"/>
    </row>
    <row r="18" spans="1:10" ht="12.75">
      <c r="A18" s="108">
        <v>221</v>
      </c>
      <c r="B18" s="108">
        <v>101</v>
      </c>
      <c r="C18" s="232">
        <v>29449</v>
      </c>
      <c r="D18" s="228">
        <f>свод!F88</f>
        <v>29449</v>
      </c>
      <c r="E18" s="228">
        <f t="shared" si="0"/>
        <v>0</v>
      </c>
      <c r="F18" s="87"/>
      <c r="G18" s="87"/>
      <c r="H18" s="87"/>
      <c r="I18" s="87"/>
      <c r="J18" s="87"/>
    </row>
    <row r="19" spans="1:10" ht="12.75">
      <c r="A19" s="108">
        <v>222</v>
      </c>
      <c r="B19" s="108">
        <v>101</v>
      </c>
      <c r="C19" s="232"/>
      <c r="D19" s="228">
        <f>свод!F89</f>
        <v>0</v>
      </c>
      <c r="E19" s="228">
        <f>C19-D19</f>
        <v>0</v>
      </c>
      <c r="F19" s="87"/>
      <c r="G19" s="87"/>
      <c r="H19" s="87"/>
      <c r="I19" s="87"/>
      <c r="J19" s="87"/>
    </row>
    <row r="20" spans="1:10" ht="12.75">
      <c r="A20" s="108">
        <v>223</v>
      </c>
      <c r="B20" s="108">
        <v>101</v>
      </c>
      <c r="C20" s="232">
        <v>2856463</v>
      </c>
      <c r="D20" s="228">
        <f>свод!F130</f>
        <v>2856463</v>
      </c>
      <c r="E20" s="228">
        <f t="shared" si="0"/>
        <v>0</v>
      </c>
      <c r="F20" s="87"/>
      <c r="G20" s="87"/>
      <c r="H20" s="87"/>
      <c r="I20" s="87"/>
      <c r="J20" s="87"/>
    </row>
    <row r="21" spans="1:10" ht="12.75">
      <c r="A21" s="108">
        <v>224</v>
      </c>
      <c r="B21" s="108">
        <v>101</v>
      </c>
      <c r="C21" s="232"/>
      <c r="D21" s="228">
        <f>свод!F101</f>
        <v>0</v>
      </c>
      <c r="E21" s="228">
        <f>C21-D21</f>
        <v>0</v>
      </c>
      <c r="F21" s="87"/>
      <c r="G21" s="87"/>
      <c r="H21" s="87"/>
      <c r="I21" s="87"/>
      <c r="J21" s="87"/>
    </row>
    <row r="22" spans="1:10" ht="12.75">
      <c r="A22" s="108">
        <v>225</v>
      </c>
      <c r="B22" s="108">
        <v>101</v>
      </c>
      <c r="C22" s="232">
        <v>353716</v>
      </c>
      <c r="D22" s="228">
        <f>свод!F47+свод!F48+свод!F49+свод!F50+свод!F53+свод!F107+свод!F108+свод!F54+свод!F55+свод!F56+свод!F57</f>
        <v>353716</v>
      </c>
      <c r="E22" s="228">
        <f t="shared" si="0"/>
        <v>0</v>
      </c>
      <c r="F22" s="87"/>
      <c r="G22" s="87"/>
      <c r="H22" s="87"/>
      <c r="I22" s="87"/>
      <c r="J22" s="87"/>
    </row>
    <row r="23" spans="1:10" ht="12.75">
      <c r="A23" s="108">
        <v>226</v>
      </c>
      <c r="B23" s="108">
        <v>101</v>
      </c>
      <c r="C23" s="232">
        <v>273752</v>
      </c>
      <c r="D23" s="228">
        <f>свод!F51+свод!F52+свод!F90+свод!F91+свод!F118+свод!F103</f>
        <v>273752</v>
      </c>
      <c r="E23" s="228">
        <f t="shared" si="0"/>
        <v>0</v>
      </c>
      <c r="F23" s="87"/>
      <c r="G23" s="87"/>
      <c r="H23" s="87"/>
      <c r="I23" s="87"/>
      <c r="J23" s="87"/>
    </row>
    <row r="24" spans="1:10" ht="12.75">
      <c r="A24" s="108">
        <v>290</v>
      </c>
      <c r="B24" s="108">
        <v>101</v>
      </c>
      <c r="C24" s="232">
        <v>1427612</v>
      </c>
      <c r="D24" s="228">
        <f>свод!F133+свод!F134+свод!F135+свод!F136+свод!F137+свод!F102</f>
        <v>1427612</v>
      </c>
      <c r="E24" s="228">
        <f t="shared" si="0"/>
        <v>0</v>
      </c>
      <c r="F24" s="87"/>
      <c r="G24" s="87"/>
      <c r="H24" s="87"/>
      <c r="I24" s="87"/>
      <c r="J24" s="87"/>
    </row>
    <row r="25" spans="1:10" ht="12.75">
      <c r="A25" s="108">
        <v>340</v>
      </c>
      <c r="B25" s="108">
        <v>101</v>
      </c>
      <c r="C25" s="232"/>
      <c r="D25" s="228">
        <f>свод!F115</f>
        <v>0</v>
      </c>
      <c r="E25" s="228">
        <f>C25-D25</f>
        <v>0</v>
      </c>
      <c r="F25" s="87"/>
      <c r="G25" s="87"/>
      <c r="H25" s="87"/>
      <c r="I25" s="87"/>
      <c r="J25" s="87"/>
    </row>
    <row r="26" spans="6:10" ht="12.75">
      <c r="F26" s="87"/>
      <c r="G26" s="87"/>
      <c r="H26" s="87"/>
      <c r="I26" s="87"/>
      <c r="J26" s="87"/>
    </row>
  </sheetData>
  <sheetProtection/>
  <mergeCells count="1">
    <mergeCell ref="A2:E2"/>
  </mergeCells>
  <printOptions/>
  <pageMargins left="0.35" right="0.24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Соколовская</cp:lastModifiedBy>
  <cp:lastPrinted>2015-01-22T07:13:05Z</cp:lastPrinted>
  <dcterms:created xsi:type="dcterms:W3CDTF">2011-03-15T07:37:35Z</dcterms:created>
  <dcterms:modified xsi:type="dcterms:W3CDTF">2015-01-23T09:02:39Z</dcterms:modified>
  <cp:category/>
  <cp:version/>
  <cp:contentType/>
  <cp:contentStatus/>
</cp:coreProperties>
</file>